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EWN\08 Externe Kommunikation\02 Print\Wärme\"/>
    </mc:Choice>
  </mc:AlternateContent>
  <xr:revisionPtr revIDLastSave="0" documentId="8_{5CE91791-C958-4753-BC73-C014E1193D1A}" xr6:coauthVersionLast="47" xr6:coauthVersionMax="47" xr10:uidLastSave="{00000000-0000-0000-0000-000000000000}"/>
  <bookViews>
    <workbookView xWindow="28590" yWindow="0" windowWidth="29010" windowHeight="23280" xr2:uid="{F6EF604D-A6EB-424E-9401-965C4A8827B4}"/>
  </bookViews>
  <sheets>
    <sheet name="Interface" sheetId="2" r:id="rId1"/>
    <sheet name="kostenberechnung" sheetId="1"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6" i="1" l="1"/>
  <c r="F66" i="1"/>
  <c r="I66" i="1"/>
  <c r="E65" i="1"/>
  <c r="F65" i="1"/>
  <c r="G65" i="1"/>
  <c r="H65" i="1"/>
  <c r="I65" i="1"/>
  <c r="J65" i="1"/>
  <c r="D62" i="1"/>
  <c r="D65" i="1"/>
  <c r="E64" i="1"/>
  <c r="F64" i="1"/>
  <c r="G64" i="1"/>
  <c r="H64" i="1"/>
  <c r="I64" i="1"/>
  <c r="J64" i="1"/>
  <c r="D64" i="1"/>
  <c r="D72" i="1" s="1"/>
  <c r="D63" i="1"/>
  <c r="D71" i="1" s="1"/>
  <c r="E63" i="1"/>
  <c r="F63" i="1"/>
  <c r="G63" i="1"/>
  <c r="H63" i="1"/>
  <c r="I63" i="1"/>
  <c r="J63" i="1"/>
  <c r="E62" i="1"/>
  <c r="F62" i="1"/>
  <c r="G62" i="1"/>
  <c r="H62" i="1"/>
  <c r="I62" i="1"/>
  <c r="J62" i="1"/>
  <c r="G10" i="1"/>
  <c r="G11" i="1"/>
  <c r="C22" i="2"/>
  <c r="D9" i="1"/>
  <c r="D10" i="1" s="1"/>
  <c r="F15" i="1"/>
  <c r="E15" i="1"/>
  <c r="G15" i="1"/>
  <c r="G17" i="1" s="1"/>
  <c r="H15" i="1"/>
  <c r="I15" i="1"/>
  <c r="J15" i="1"/>
  <c r="D15" i="1"/>
  <c r="J10" i="1"/>
  <c r="F10" i="1"/>
  <c r="E10" i="1"/>
  <c r="I27" i="1"/>
  <c r="H27" i="1"/>
  <c r="J51" i="1"/>
  <c r="H98" i="1" l="1"/>
  <c r="H17" i="1"/>
  <c r="D98" i="1"/>
  <c r="D109" i="1" s="1"/>
  <c r="I72" i="1"/>
  <c r="I9" i="1"/>
  <c r="I10" i="1" s="1"/>
  <c r="H60" i="1"/>
  <c r="H38" i="1"/>
  <c r="H37" i="1"/>
  <c r="H72" i="1"/>
  <c r="H28" i="1"/>
  <c r="H42" i="1"/>
  <c r="H26" i="1"/>
  <c r="H50" i="1" s="1"/>
  <c r="H88" i="1" s="1"/>
  <c r="H12" i="1"/>
  <c r="H99" i="1" s="1"/>
  <c r="H9" i="1"/>
  <c r="H10" i="1" s="1"/>
  <c r="H81" i="1" l="1"/>
  <c r="H104" i="1"/>
  <c r="G12" i="1"/>
  <c r="D11" i="1"/>
  <c r="I60" i="1" l="1"/>
  <c r="H11" i="1" l="1"/>
  <c r="I11" i="1"/>
  <c r="I12" i="1" l="1"/>
  <c r="G99" i="1"/>
  <c r="A54" i="1" l="1"/>
  <c r="I99" i="1" l="1"/>
  <c r="D42" i="1"/>
  <c r="E42" i="1"/>
  <c r="F42" i="1"/>
  <c r="G42" i="1"/>
  <c r="I42" i="1"/>
  <c r="J42" i="1"/>
  <c r="C42" i="1"/>
  <c r="I26" i="1"/>
  <c r="I50" i="1" s="1"/>
  <c r="I88" i="1" s="1"/>
  <c r="I38" i="1"/>
  <c r="I37" i="1"/>
  <c r="I81" i="1" l="1"/>
  <c r="I104" i="1"/>
  <c r="C115" i="1"/>
  <c r="D116" i="1" l="1"/>
  <c r="D117" i="1" s="1"/>
  <c r="F116" i="1"/>
  <c r="F117" i="1" s="1"/>
  <c r="E116" i="1"/>
  <c r="E117" i="1" s="1"/>
  <c r="H97" i="1"/>
  <c r="H109" i="1" s="1"/>
  <c r="C8" i="1"/>
  <c r="I8" i="1" s="1"/>
  <c r="I89" i="1" l="1"/>
  <c r="I53" i="1"/>
  <c r="I55" i="1"/>
  <c r="H110" i="1"/>
  <c r="H82" i="1"/>
  <c r="H8" i="1"/>
  <c r="H53" i="1" s="1"/>
  <c r="J88" i="1"/>
  <c r="J81" i="1"/>
  <c r="J99" i="1"/>
  <c r="J60" i="1"/>
  <c r="J37" i="1"/>
  <c r="J28" i="1"/>
  <c r="J27" i="1"/>
  <c r="J72" i="1" s="1"/>
  <c r="J26" i="1"/>
  <c r="J50" i="1" s="1"/>
  <c r="H54" i="1" l="1"/>
  <c r="H89" i="1"/>
  <c r="H107" i="1" s="1"/>
  <c r="I70" i="1"/>
  <c r="I71" i="1"/>
  <c r="H55" i="1"/>
  <c r="H56" i="1"/>
  <c r="I82" i="1"/>
  <c r="I110" i="1"/>
  <c r="I56" i="1"/>
  <c r="I107" i="1"/>
  <c r="H66" i="1" l="1"/>
  <c r="H70" i="1"/>
  <c r="H71" i="1"/>
  <c r="H59" i="1"/>
  <c r="H61" i="1" s="1"/>
  <c r="I59" i="1"/>
  <c r="I61" i="1" s="1"/>
  <c r="J104" i="1"/>
  <c r="H69" i="1" l="1"/>
  <c r="H73" i="1" s="1"/>
  <c r="H67" i="1"/>
  <c r="H105" i="1" s="1"/>
  <c r="H112" i="1" s="1"/>
  <c r="I69" i="1"/>
  <c r="I73" i="1" s="1"/>
  <c r="C50" i="1"/>
  <c r="C88" i="1" s="1"/>
  <c r="C26" i="1"/>
  <c r="H75" i="1" l="1"/>
  <c r="H106" i="1" s="1"/>
  <c r="I67" i="1"/>
  <c r="C81" i="1"/>
  <c r="C104" i="1"/>
  <c r="D37" i="1"/>
  <c r="D31" i="1"/>
  <c r="H31" i="1" s="1"/>
  <c r="H113" i="1" l="1"/>
  <c r="I75" i="1"/>
  <c r="I106" i="1" s="1"/>
  <c r="I105" i="1"/>
  <c r="G31" i="1"/>
  <c r="F31" i="1"/>
  <c r="E31" i="1"/>
  <c r="J31" i="1"/>
  <c r="I31" i="1"/>
  <c r="F28" i="1" l="1"/>
  <c r="G28" i="1"/>
  <c r="E28" i="1"/>
  <c r="F27" i="1"/>
  <c r="F72" i="1" s="1"/>
  <c r="G27" i="1"/>
  <c r="E27" i="1"/>
  <c r="E72" i="1" s="1"/>
  <c r="G38" i="1" l="1"/>
  <c r="A110" i="1" l="1"/>
  <c r="E99" i="1"/>
  <c r="E88" i="1"/>
  <c r="E90" i="1" s="1"/>
  <c r="G60" i="1"/>
  <c r="E60" i="1"/>
  <c r="D50" i="1"/>
  <c r="D88" i="1" s="1"/>
  <c r="G37" i="1"/>
  <c r="G26" i="1"/>
  <c r="G50" i="1" s="1"/>
  <c r="F26" i="1"/>
  <c r="F50" i="1" s="1"/>
  <c r="D26" i="1"/>
  <c r="G88" i="1" l="1"/>
  <c r="F88" i="1"/>
  <c r="E104" i="1"/>
  <c r="E81" i="1"/>
  <c r="D104" i="1"/>
  <c r="D81" i="1"/>
  <c r="G104" i="1" l="1"/>
  <c r="F81" i="1"/>
  <c r="F90" i="1"/>
  <c r="G81" i="1"/>
  <c r="F104" i="1"/>
  <c r="J17" i="1" l="1"/>
  <c r="J8" i="1"/>
  <c r="J53" i="1" s="1"/>
  <c r="J110" i="1"/>
  <c r="J18" i="1"/>
  <c r="J82" i="1"/>
  <c r="J55" i="1" l="1"/>
  <c r="J54" i="1" s="1"/>
  <c r="G8" i="1"/>
  <c r="G53" i="1" s="1"/>
  <c r="D8" i="1"/>
  <c r="E119" i="1"/>
  <c r="E8" i="1"/>
  <c r="E53" i="1" s="1"/>
  <c r="D119" i="1"/>
  <c r="F119" i="1"/>
  <c r="F8" i="1"/>
  <c r="J56" i="1"/>
  <c r="J89" i="1"/>
  <c r="D82" i="1"/>
  <c r="H83" i="1" s="1"/>
  <c r="H84" i="1" s="1"/>
  <c r="D110" i="1"/>
  <c r="G110" i="1"/>
  <c r="G82" i="1"/>
  <c r="F110" i="1"/>
  <c r="F82" i="1"/>
  <c r="E82" i="1"/>
  <c r="E110" i="1"/>
  <c r="F89" i="1" l="1"/>
  <c r="F107" i="1" s="1"/>
  <c r="F53" i="1"/>
  <c r="D13" i="1"/>
  <c r="C28" i="2" s="1"/>
  <c r="D53" i="1"/>
  <c r="J66" i="1"/>
  <c r="G55" i="1"/>
  <c r="J70" i="1"/>
  <c r="J71" i="1"/>
  <c r="D89" i="1"/>
  <c r="D107" i="1" s="1"/>
  <c r="D12" i="1"/>
  <c r="D99" i="1" s="1"/>
  <c r="D108" i="1" s="1"/>
  <c r="G89" i="1"/>
  <c r="G107" i="1" s="1"/>
  <c r="G54" i="1"/>
  <c r="J59" i="1"/>
  <c r="J61" i="1" s="1"/>
  <c r="J107" i="1"/>
  <c r="E56" i="1"/>
  <c r="E55" i="1"/>
  <c r="D55" i="1"/>
  <c r="D56" i="1"/>
  <c r="F55" i="1"/>
  <c r="F56" i="1"/>
  <c r="J83" i="1"/>
  <c r="J84" i="1" s="1"/>
  <c r="I83" i="1"/>
  <c r="I84" i="1" s="1"/>
  <c r="G56" i="1"/>
  <c r="F12" i="1"/>
  <c r="F99" i="1" s="1"/>
  <c r="F13" i="1"/>
  <c r="E89" i="1"/>
  <c r="E107" i="1" s="1"/>
  <c r="F83" i="1"/>
  <c r="F84" i="1" s="1"/>
  <c r="E83" i="1"/>
  <c r="E84" i="1" s="1"/>
  <c r="G83" i="1"/>
  <c r="G84" i="1" s="1"/>
  <c r="J69" i="1" l="1"/>
  <c r="D59" i="1"/>
  <c r="G59" i="1"/>
  <c r="G61" i="1" s="1"/>
  <c r="G66" i="1"/>
  <c r="G71" i="1"/>
  <c r="C25" i="2"/>
  <c r="J67" i="1"/>
  <c r="J105" i="1" s="1"/>
  <c r="D97" i="1"/>
  <c r="E70" i="1"/>
  <c r="E71" i="1"/>
  <c r="F70" i="1"/>
  <c r="F71" i="1"/>
  <c r="D70" i="1"/>
  <c r="G70" i="1"/>
  <c r="G72" i="1"/>
  <c r="D60" i="1"/>
  <c r="F59" i="1"/>
  <c r="E59" i="1"/>
  <c r="E61" i="1" s="1"/>
  <c r="F60" i="1"/>
  <c r="D61" i="1" l="1"/>
  <c r="F61" i="1"/>
  <c r="F69" i="1" s="1"/>
  <c r="E67" i="1"/>
  <c r="E105" i="1" s="1"/>
  <c r="E69" i="1"/>
  <c r="G69" i="1"/>
  <c r="G73" i="1" s="1"/>
  <c r="G67" i="1"/>
  <c r="G105" i="1" s="1"/>
  <c r="J73" i="1"/>
  <c r="D66" i="1" l="1"/>
  <c r="D67" i="1" s="1"/>
  <c r="D105" i="1" s="1"/>
  <c r="D69" i="1"/>
  <c r="D73" i="1" s="1"/>
  <c r="F67" i="1"/>
  <c r="F105" i="1" s="1"/>
  <c r="J75" i="1"/>
  <c r="J106" i="1" s="1"/>
  <c r="G75" i="1"/>
  <c r="G106" i="1" s="1"/>
  <c r="E73" i="1"/>
  <c r="D112" i="1" l="1"/>
  <c r="D75" i="1"/>
  <c r="E75" i="1"/>
  <c r="E106" i="1" s="1"/>
  <c r="F73" i="1"/>
  <c r="D106" i="1" l="1"/>
  <c r="D113" i="1" s="1"/>
  <c r="F75" i="1"/>
  <c r="F106" i="1" s="1"/>
  <c r="D17" i="1"/>
  <c r="I17" i="1" l="1"/>
  <c r="J11" i="1" l="1"/>
  <c r="E17" i="1"/>
  <c r="E11" i="1"/>
  <c r="E98" i="1" s="1"/>
  <c r="E97" i="1" s="1"/>
  <c r="E109" i="1" s="1"/>
  <c r="G98" i="1"/>
  <c r="G97" i="1" s="1"/>
  <c r="G109" i="1" s="1"/>
  <c r="I98" i="1"/>
  <c r="I97" i="1" s="1"/>
  <c r="F17" i="1"/>
  <c r="F11" i="1"/>
  <c r="F98" i="1" s="1"/>
  <c r="F97" i="1" s="1"/>
  <c r="F109" i="1" s="1"/>
  <c r="F113" i="1" l="1"/>
  <c r="G113" i="1"/>
  <c r="G112" i="1"/>
  <c r="J98" i="1"/>
  <c r="J97" i="1" s="1"/>
  <c r="J109" i="1" s="1"/>
  <c r="I109" i="1"/>
  <c r="F112" i="1" l="1"/>
  <c r="I113" i="1"/>
  <c r="I112" i="1"/>
  <c r="E113" i="1"/>
  <c r="E112" i="1"/>
  <c r="J113" i="1"/>
  <c r="J112" i="1"/>
  <c r="E33" i="1"/>
  <c r="E18" i="1" s="1"/>
  <c r="F33" i="1" l="1"/>
  <c r="F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Reto Storz</author>
    <author>Kevin Steiger</author>
  </authors>
  <commentList>
    <comment ref="E14" authorId="0" shapeId="0" xr:uid="{0D509F8E-9028-421E-ADBA-46FC47662E3E}">
      <text>
        <r>
          <rPr>
            <b/>
            <sz val="9"/>
            <color indexed="81"/>
            <rFont val="Segoe UI"/>
            <family val="2"/>
          </rPr>
          <t>Reto Storz:</t>
        </r>
        <r>
          <rPr>
            <sz val="9"/>
            <color indexed="81"/>
            <rFont val="Segoe UI"/>
            <family val="2"/>
          </rPr>
          <t xml:space="preserve">
Heizöl in Liter/a</t>
        </r>
      </text>
    </comment>
    <comment ref="F14" authorId="0" shapeId="0" xr:uid="{D407BA0C-F6AF-49A1-9DC0-F0A9940CEE21}">
      <text>
        <r>
          <rPr>
            <b/>
            <sz val="9"/>
            <color indexed="81"/>
            <rFont val="Segoe UI"/>
            <family val="2"/>
          </rPr>
          <t>Reto Storz:</t>
        </r>
        <r>
          <rPr>
            <sz val="9"/>
            <color indexed="81"/>
            <rFont val="Segoe UI"/>
            <family val="2"/>
          </rPr>
          <t xml:space="preserve">
Gas in kWh/a oder m³/a</t>
        </r>
      </text>
    </comment>
    <comment ref="G42" authorId="1" shapeId="0" xr:uid="{80D7C1FB-0173-43E0-B745-E50463A3FA45}">
      <text>
        <r>
          <rPr>
            <b/>
            <sz val="9"/>
            <color indexed="81"/>
            <rFont val="Segoe UI"/>
            <family val="2"/>
          </rPr>
          <t>Kevin Steiger:</t>
        </r>
        <r>
          <rPr>
            <sz val="9"/>
            <color indexed="81"/>
            <rFont val="Segoe UI"/>
            <family val="2"/>
          </rPr>
          <t xml:space="preserve">
hier sollten die Werte für eine 50kW+ WP eingetragen werden</t>
        </r>
      </text>
    </comment>
  </commentList>
</comments>
</file>

<file path=xl/sharedStrings.xml><?xml version="1.0" encoding="utf-8"?>
<sst xmlns="http://schemas.openxmlformats.org/spreadsheetml/2006/main" count="138" uniqueCount="119">
  <si>
    <t>Name Kunde:</t>
  </si>
  <si>
    <t>Name Berater:</t>
  </si>
  <si>
    <t>Datum:</t>
  </si>
  <si>
    <t>Adresse:</t>
  </si>
  <si>
    <t>Nutzerangaben</t>
  </si>
  <si>
    <t>Kundenangaben</t>
  </si>
  <si>
    <t>Nutzungsenergiebedarf</t>
  </si>
  <si>
    <t>kWh/a</t>
  </si>
  <si>
    <t>Heizleistung</t>
  </si>
  <si>
    <t>kW</t>
  </si>
  <si>
    <t>Tarif Seewärme</t>
  </si>
  <si>
    <t>Arbeitspreis Basis</t>
  </si>
  <si>
    <t>Rp./kWh</t>
  </si>
  <si>
    <t>berechneter Wert</t>
  </si>
  <si>
    <t>CHF/a</t>
  </si>
  <si>
    <t>Jährlicher Grundpreis</t>
  </si>
  <si>
    <t>CHF/kW/a</t>
  </si>
  <si>
    <t>Einmaliger Anschlussbeitrag</t>
  </si>
  <si>
    <t>CHF/kW</t>
  </si>
  <si>
    <t>CHF</t>
  </si>
  <si>
    <t>Vergleich Vollkostenrechnung Wärmeerzeugung</t>
  </si>
  <si>
    <t>Volllaststunden</t>
  </si>
  <si>
    <t>Betrachtungszeitraum</t>
  </si>
  <si>
    <t>Jahre</t>
  </si>
  <si>
    <t>Objekt: MUSTER</t>
  </si>
  <si>
    <t>Grundlagen</t>
  </si>
  <si>
    <t>alle Angaben verstehen sich exklusive MwSt..</t>
  </si>
  <si>
    <t>Vertragsgrundlagen</t>
  </si>
  <si>
    <t>Einheit</t>
  </si>
  <si>
    <t>Kostenbasis</t>
  </si>
  <si>
    <t>See-Energie Verbund</t>
  </si>
  <si>
    <t>Heizöl</t>
  </si>
  <si>
    <t>Erdgas (fossiles)</t>
  </si>
  <si>
    <t>Erdsonden WP</t>
  </si>
  <si>
    <t>Grundwasser WP</t>
  </si>
  <si>
    <t>Luft/Wasser WP</t>
  </si>
  <si>
    <t>Holzpellets</t>
  </si>
  <si>
    <t>Energiepreise Basis (Strom/Gas/Pellets/Fernwärme)</t>
  </si>
  <si>
    <t>CHF/kWh</t>
  </si>
  <si>
    <t>Energiepreis Wärme ab 100'000 kWh/a  inkl. Abgaben</t>
  </si>
  <si>
    <t>Energiepreis Wärme ab 300'000 kWh/a  inkl. Abgaben</t>
  </si>
  <si>
    <t>Grundpreis</t>
  </si>
  <si>
    <t>CHF/kW a</t>
  </si>
  <si>
    <t>Anschlussgebühr</t>
  </si>
  <si>
    <t>Endenergiebedarf (IST-Bedarf heute)</t>
  </si>
  <si>
    <t>Nutzenergiebedarf  total</t>
  </si>
  <si>
    <t>Jahresrechnung</t>
  </si>
  <si>
    <t>Jahresverbrauch</t>
  </si>
  <si>
    <t>Förderbeitrag Kanton NW</t>
  </si>
  <si>
    <t>Förderbeitrag A</t>
  </si>
  <si>
    <t>Förderbeitrag B</t>
  </si>
  <si>
    <t>Förderbeitrag C (nicht in Berechnung)</t>
  </si>
  <si>
    <t>Förderbeitrag D (nicht in Berechnung)</t>
  </si>
  <si>
    <t>Kalkulationsgrundlagen</t>
  </si>
  <si>
    <t>Kapitalzins</t>
  </si>
  <si>
    <t>Teuerung</t>
  </si>
  <si>
    <t>Amortisationsdauer: techn. Anlagen</t>
  </si>
  <si>
    <t>Amortisationsdauer: bauliches</t>
  </si>
  <si>
    <t>Strompreis Mittelwert (EWN Preisliste Durchschnitt HT-NT)</t>
  </si>
  <si>
    <t>Heizwert</t>
  </si>
  <si>
    <t>Nutzungsgrad Wärmeerzeugung (SIA 380)</t>
  </si>
  <si>
    <t>COP Wärmepumpen</t>
  </si>
  <si>
    <t>CO2-Abgaben (2018)</t>
  </si>
  <si>
    <t>CO2-Emissionen (SIA 380)</t>
  </si>
  <si>
    <t>Spezifische Kosten Wärmeerzeugung [CHF/kW]</t>
  </si>
  <si>
    <t xml:space="preserve">Wärmequelle </t>
  </si>
  <si>
    <t>Wärmeerzeugung</t>
  </si>
  <si>
    <t>Hausinterne Installationen/Instandsetzungsarbeiten</t>
  </si>
  <si>
    <t>Investitionskosten Wärmeerzeugung (Vollkostenrechnung)</t>
  </si>
  <si>
    <t>Förderbeitrag Kanton NW fix</t>
  </si>
  <si>
    <t>Förderbeitrag Kanton NW vadiabel pro kW</t>
  </si>
  <si>
    <t>Kaminanlage</t>
  </si>
  <si>
    <t>Elektroinstallationen</t>
  </si>
  <si>
    <t>Planungshonorar (18%)</t>
  </si>
  <si>
    <t>Erstinvestition netto</t>
  </si>
  <si>
    <t xml:space="preserve">Ersatzinvestition 1 technische Anlage </t>
  </si>
  <si>
    <t>-</t>
  </si>
  <si>
    <t xml:space="preserve">Ersatzinvestition 2 technische Anlage </t>
  </si>
  <si>
    <t xml:space="preserve">Ersatzinvestition 3 technische Anlage </t>
  </si>
  <si>
    <t>Restdauer bis 50 Jahre nach letzter Ersatzinvestition</t>
  </si>
  <si>
    <t>Restwert bis 50 Jahre</t>
  </si>
  <si>
    <t>Total Investitionen</t>
  </si>
  <si>
    <t>Kapitalkosten Erstinvestition</t>
  </si>
  <si>
    <t>Kapitalkosten Ersatzinvestition 1</t>
  </si>
  <si>
    <t>Kapitalkosten Ersatzinvestition 2</t>
  </si>
  <si>
    <t>Kapitalkosten Ersatzinvestition 3</t>
  </si>
  <si>
    <t xml:space="preserve">Total Kapitalkosten </t>
  </si>
  <si>
    <t>Total Investitionen und Kapitalkosten</t>
  </si>
  <si>
    <r>
      <t>CO</t>
    </r>
    <r>
      <rPr>
        <b/>
        <vertAlign val="subscript"/>
        <sz val="12"/>
        <rFont val="Arial"/>
        <family val="2"/>
      </rPr>
      <t>2</t>
    </r>
    <r>
      <rPr>
        <b/>
        <sz val="12"/>
        <rFont val="Arial"/>
        <family val="2"/>
      </rPr>
      <t>-Emissionen</t>
    </r>
  </si>
  <si>
    <r>
      <t>CO</t>
    </r>
    <r>
      <rPr>
        <b/>
        <vertAlign val="subscript"/>
        <sz val="10"/>
        <rFont val="Arial"/>
        <family val="2"/>
      </rPr>
      <t>2</t>
    </r>
    <r>
      <rPr>
        <b/>
        <sz val="10"/>
        <rFont val="Arial"/>
        <family val="2"/>
      </rPr>
      <t>-Emissionen [t/a]</t>
    </r>
  </si>
  <si>
    <r>
      <t>CO</t>
    </r>
    <r>
      <rPr>
        <vertAlign val="subscript"/>
        <sz val="10"/>
        <color rgb="FF00B050"/>
        <rFont val="Arial"/>
        <family val="2"/>
      </rPr>
      <t>2</t>
    </r>
    <r>
      <rPr>
        <sz val="10"/>
        <color rgb="FF00B050"/>
        <rFont val="Arial"/>
        <family val="2"/>
      </rPr>
      <t>-Einsparung mit Fernwärme [t/a]</t>
    </r>
  </si>
  <si>
    <r>
      <t>CO</t>
    </r>
    <r>
      <rPr>
        <vertAlign val="subscript"/>
        <sz val="10"/>
        <color rgb="FF00B050"/>
        <rFont val="Arial"/>
        <family val="2"/>
      </rPr>
      <t>2</t>
    </r>
    <r>
      <rPr>
        <sz val="10"/>
        <color rgb="FF00B050"/>
        <rFont val="Arial"/>
        <family val="2"/>
      </rPr>
      <t>-Einsparung in Anzahl Kilometer PkW</t>
    </r>
  </si>
  <si>
    <t>Der durchschnittliche CO2-Ausstoss auf der Energieetikette beträgt 120 g/km. Dieser Wert berechnet sich auf Basis der Neuwagen, die 2022 neu in Verkehr gesetzt wurden</t>
  </si>
  <si>
    <t>kg CO2/km</t>
  </si>
  <si>
    <t>Betriebskosten</t>
  </si>
  <si>
    <t>Unterhaltskosten pro kW Leistung</t>
  </si>
  <si>
    <t>Unterhaltskosten</t>
  </si>
  <si>
    <t>Raummehrbedarf Tankraum / Heizraum</t>
  </si>
  <si>
    <t>Serviceabo Heizkessel</t>
  </si>
  <si>
    <t>Kleinreparaturen Heizung</t>
  </si>
  <si>
    <t>Kaminfeger</t>
  </si>
  <si>
    <t>Service Tank</t>
  </si>
  <si>
    <t>Energiekosten</t>
  </si>
  <si>
    <t>Grundkosten (Leistungspreis)</t>
  </si>
  <si>
    <r>
      <t>CO</t>
    </r>
    <r>
      <rPr>
        <b/>
        <vertAlign val="subscript"/>
        <sz val="10"/>
        <rFont val="Arial"/>
        <family val="2"/>
      </rPr>
      <t>2</t>
    </r>
    <r>
      <rPr>
        <b/>
        <sz val="10"/>
        <rFont val="Arial"/>
        <family val="2"/>
      </rPr>
      <t>-Abgabe</t>
    </r>
  </si>
  <si>
    <t>Wärmekosten Gesamtbetrachtung ohne Kapitalkosten für Investitionen</t>
  </si>
  <si>
    <t>Berechnung der Gestehungskosten bezogen auf den Endenergiebedarf in den ersten 20 Jahren</t>
  </si>
  <si>
    <t>Investitionskosten ohne Kapitalkosten</t>
  </si>
  <si>
    <t>Investitionskosten mit Kapitalkosten</t>
  </si>
  <si>
    <t>Grundgebühr</t>
  </si>
  <si>
    <t>Energiekosten inkl. CO2 Abgaben</t>
  </si>
  <si>
    <t>Energiepreis Sensitivität</t>
  </si>
  <si>
    <t>Gestehungskosten ohne Kapitalkosten</t>
  </si>
  <si>
    <t>Gestehungskosten mit Kapitalkosten</t>
  </si>
  <si>
    <t xml:space="preserve">CO2 Abgaben heute: </t>
  </si>
  <si>
    <t>zu erwartenen CO2 Abgaben</t>
  </si>
  <si>
    <t>Zuk. Zuschlag CO2 Abgaben</t>
  </si>
  <si>
    <t>Vollkostenvergleich Wärmeerzeugung Kunden Buochs</t>
  </si>
  <si>
    <t>Förderbeitrag Kanton NW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</si>
</sst>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43" formatCode="_ * #,##0.00_ ;_ * \-#,##0.00_ ;_ * &quot;-&quot;??_ ;_ @_ "/>
    <numFmt numFmtId="164" formatCode="&quot;SFr.&quot;\ #,##0\ "/>
    <numFmt numFmtId="165" formatCode="#,##0\ &quot;kW&quot;"/>
    <numFmt numFmtId="166" formatCode="0.00\ &quot;Rp/kWh&quot;"/>
    <numFmt numFmtId="167" formatCode="0\ &quot;CHF/kW&quot;"/>
    <numFmt numFmtId="168" formatCode="0\ &quot;CHF/a&quot;"/>
    <numFmt numFmtId="169" formatCode="0\ &quot;CHF&quot;"/>
    <numFmt numFmtId="170" formatCode="0.0\ &quot;%&quot;"/>
    <numFmt numFmtId="171" formatCode="#,##0\ &quot;L&quot;"/>
    <numFmt numFmtId="172" formatCode="0.0\ &quot;m³&quot;"/>
    <numFmt numFmtId="173" formatCode="#,##0\ &quot;kWh&quot;"/>
    <numFmt numFmtId="174" formatCode="0\ &quot;Jahre&quot;"/>
    <numFmt numFmtId="175" formatCode="0.0"/>
    <numFmt numFmtId="176" formatCode="General\ &quot;Jahre&quot;"/>
    <numFmt numFmtId="177" formatCode="0.0000\ &quot;CHF&quot;"/>
    <numFmt numFmtId="178" formatCode="0\ &quot;kWh/m³&quot;"/>
    <numFmt numFmtId="179" formatCode="General\ &quot;CHF/t CO2&quot;"/>
    <numFmt numFmtId="180" formatCode="0.000\ &quot;kg CO2/kWh&quot;"/>
    <numFmt numFmtId="181" formatCode="0.0\ &quot;t/a&quot;"/>
    <numFmt numFmtId="182" formatCode="#,##0\ &quot;km&quot;"/>
    <numFmt numFmtId="183" formatCode="0\ &quot;l/a bzw. m3/a&quot;"/>
    <numFmt numFmtId="184" formatCode="0\ &quot;l/a&quot;"/>
    <numFmt numFmtId="185" formatCode="0\ &quot;m3/a&quot;"/>
    <numFmt numFmtId="186" formatCode="0.0\ &quot;kWh/L bzw. kWh/m3&quot;"/>
    <numFmt numFmtId="187" formatCode="0.0\ &quot;kWh/L&quot;"/>
    <numFmt numFmtId="188" formatCode="&quot;CHF&quot;\ #,##0.00"/>
    <numFmt numFmtId="189" formatCode="0.0\ &quot;kWh/kg&quot;"/>
    <numFmt numFmtId="190" formatCode="0\ &quot;kg/a&quot;"/>
    <numFmt numFmtId="191" formatCode="#,##0&quot; CHF/To CO2&quot;"/>
    <numFmt numFmtId="192" formatCode="0\ &quot;CHF/t&quot;"/>
    <numFmt numFmtId="193" formatCode="0\ &quot;CHF/(kW*a)&quot;"/>
    <numFmt numFmtId="194" formatCode="_ * #,##0_ ;_ * \-#,##0_ ;_ * &quot;-&quot;??_ ;_ @_ "/>
  </numFmts>
  <fonts count="32" x14ac:knownFonts="1">
    <font>
      <sz val="11"/>
      <color theme="1"/>
      <name val="Calibri"/>
      <family val="2"/>
      <scheme val="minor"/>
    </font>
    <font>
      <b/>
      <sz val="14"/>
      <name val="Arial"/>
      <family val="2"/>
    </font>
    <font>
      <b/>
      <sz val="12"/>
      <name val="Arial"/>
      <family val="2"/>
    </font>
    <font>
      <sz val="12"/>
      <name val="Arial"/>
      <family val="2"/>
    </font>
    <font>
      <b/>
      <sz val="10"/>
      <name val="Arial"/>
      <family val="2"/>
    </font>
    <font>
      <sz val="10"/>
      <name val="Arial"/>
      <family val="2"/>
    </font>
    <font>
      <sz val="10"/>
      <color theme="1"/>
      <name val="Arial"/>
      <family val="2"/>
    </font>
    <font>
      <b/>
      <sz val="10"/>
      <color rgb="FFFF0000"/>
      <name val="Arial"/>
      <family val="2"/>
    </font>
    <font>
      <sz val="10"/>
      <color rgb="FFFF0000"/>
      <name val="Arial"/>
      <family val="2"/>
    </font>
    <font>
      <b/>
      <vertAlign val="subscript"/>
      <sz val="12"/>
      <name val="Arial"/>
      <family val="2"/>
    </font>
    <font>
      <b/>
      <vertAlign val="subscript"/>
      <sz val="10"/>
      <name val="Arial"/>
      <family val="2"/>
    </font>
    <font>
      <sz val="10"/>
      <color rgb="FF00B050"/>
      <name val="Arial"/>
      <family val="2"/>
    </font>
    <font>
      <vertAlign val="subscript"/>
      <sz val="10"/>
      <color rgb="FF00B050"/>
      <name val="Arial"/>
      <family val="2"/>
    </font>
    <font>
      <i/>
      <sz val="10"/>
      <name val="Arial"/>
      <family val="2"/>
    </font>
    <font>
      <sz val="8"/>
      <name val="Arial"/>
      <family val="2"/>
    </font>
    <font>
      <b/>
      <sz val="9"/>
      <color indexed="81"/>
      <name val="Segoe UI"/>
      <family val="2"/>
    </font>
    <font>
      <sz val="9"/>
      <color indexed="81"/>
      <name val="Segoe UI"/>
      <family val="2"/>
    </font>
    <font>
      <sz val="11"/>
      <color theme="1"/>
      <name val="Arial"/>
      <family val="2"/>
    </font>
    <font>
      <b/>
      <sz val="12"/>
      <color theme="1"/>
      <name val="Arial"/>
      <family val="2"/>
    </font>
    <font>
      <b/>
      <sz val="11"/>
      <color theme="1"/>
      <name val="Arial"/>
      <family val="2"/>
    </font>
    <font>
      <b/>
      <sz val="18"/>
      <color theme="1"/>
      <name val="Arial"/>
      <family val="2"/>
    </font>
    <font>
      <sz val="18"/>
      <color theme="1"/>
      <name val="Arial"/>
      <family val="2"/>
    </font>
    <font>
      <b/>
      <sz val="16"/>
      <name val="Arial"/>
      <family val="2"/>
    </font>
    <font>
      <sz val="16"/>
      <name val="Arial"/>
      <family val="2"/>
    </font>
    <font>
      <b/>
      <sz val="36"/>
      <name val="Arial"/>
      <family val="2"/>
    </font>
    <font>
      <b/>
      <i/>
      <sz val="10"/>
      <name val="Arial"/>
      <family val="2"/>
    </font>
    <font>
      <sz val="11"/>
      <color theme="1"/>
      <name val="Calibri"/>
      <family val="2"/>
      <scheme val="minor"/>
    </font>
    <font>
      <sz val="11"/>
      <name val="Calibri"/>
      <family val="2"/>
      <scheme val="minor"/>
    </font>
    <font>
      <sz val="11"/>
      <color theme="2" tint="-9.9978637043366805E-2"/>
      <name val="Arial"/>
      <family val="2"/>
    </font>
    <font>
      <sz val="11"/>
      <color rgb="FF9C0006"/>
      <name val="Calibri"/>
      <family val="2"/>
      <scheme val="minor"/>
    </font>
    <font>
      <b/>
      <sz val="14"/>
      <color theme="1"/>
      <name val="Calibri"/>
      <family val="2"/>
      <scheme val="minor"/>
    </font>
    <font>
      <b/>
      <sz val="10"/>
      <color theme="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rgb="FFFFC7CE"/>
      </patternFill>
    </fill>
  </fills>
  <borders count="32">
    <border>
      <left/>
      <right/>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9" fontId="5"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9" fillId="6" borderId="0" applyNumberFormat="0" applyBorder="0" applyAlignment="0" applyProtection="0"/>
  </cellStyleXfs>
  <cellXfs count="243">
    <xf numFmtId="0" fontId="0" fillId="0" borderId="0" xfId="0"/>
    <xf numFmtId="0" fontId="1" fillId="0" borderId="0" xfId="0" applyFont="1"/>
    <xf numFmtId="0" fontId="2" fillId="0" borderId="1" xfId="0" applyFont="1" applyBorder="1" applyAlignment="1">
      <alignment vertical="top"/>
    </xf>
    <xf numFmtId="0" fontId="0" fillId="0" borderId="1" xfId="0" applyBorder="1"/>
    <xf numFmtId="0" fontId="2" fillId="0" borderId="0" xfId="0" applyFont="1"/>
    <xf numFmtId="0" fontId="3" fillId="0" borderId="0" xfId="0" applyFont="1"/>
    <xf numFmtId="0" fontId="4" fillId="2" borderId="2" xfId="0" applyFont="1" applyFill="1" applyBorder="1" applyAlignment="1">
      <alignment vertical="top"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0" xfId="0" applyFont="1"/>
    <xf numFmtId="164" fontId="6" fillId="0" borderId="4" xfId="0" applyNumberFormat="1" applyFont="1" applyBorder="1" applyAlignment="1">
      <alignment vertical="center"/>
    </xf>
    <xf numFmtId="164" fontId="6" fillId="0" borderId="7" xfId="0" applyNumberFormat="1" applyFont="1" applyBorder="1" applyAlignment="1">
      <alignment vertical="center"/>
    </xf>
    <xf numFmtId="170" fontId="6" fillId="0" borderId="4" xfId="1" applyNumberFormat="1" applyFont="1" applyBorder="1" applyAlignment="1">
      <alignment horizontal="right" vertical="center"/>
    </xf>
    <xf numFmtId="171" fontId="6" fillId="3" borderId="4" xfId="1" applyNumberFormat="1" applyFont="1" applyFill="1" applyBorder="1" applyAlignment="1">
      <alignment horizontal="right" vertical="center"/>
    </xf>
    <xf numFmtId="172" fontId="6" fillId="3" borderId="4" xfId="1" applyNumberFormat="1" applyFont="1" applyFill="1" applyBorder="1" applyAlignment="1">
      <alignment horizontal="right" vertical="center"/>
    </xf>
    <xf numFmtId="171" fontId="6" fillId="4" borderId="4" xfId="1" applyNumberFormat="1" applyFont="1" applyFill="1" applyBorder="1" applyAlignment="1">
      <alignment horizontal="right" vertical="center"/>
    </xf>
    <xf numFmtId="0" fontId="4" fillId="0" borderId="0" xfId="0" applyFont="1" applyAlignment="1">
      <alignment vertical="top" wrapText="1"/>
    </xf>
    <xf numFmtId="0" fontId="4" fillId="0" borderId="0" xfId="0" applyFont="1" applyAlignment="1">
      <alignment horizontal="center" vertical="center" wrapText="1"/>
    </xf>
    <xf numFmtId="0" fontId="7" fillId="2" borderId="2" xfId="0" applyFont="1" applyFill="1" applyBorder="1" applyAlignment="1">
      <alignment vertical="top" wrapText="1"/>
    </xf>
    <xf numFmtId="0" fontId="7" fillId="4" borderId="3" xfId="0" applyFont="1" applyFill="1" applyBorder="1" applyAlignment="1">
      <alignment horizontal="center" vertical="center" wrapText="1"/>
    </xf>
    <xf numFmtId="0" fontId="4" fillId="0" borderId="8" xfId="0" applyFont="1" applyBorder="1" applyAlignment="1">
      <alignment horizontal="center" vertical="center" wrapText="1"/>
    </xf>
    <xf numFmtId="164" fontId="8" fillId="0" borderId="9" xfId="0" applyNumberFormat="1" applyFont="1" applyBorder="1" applyAlignment="1">
      <alignment vertical="center"/>
    </xf>
    <xf numFmtId="169" fontId="8" fillId="4" borderId="10" xfId="1" applyNumberFormat="1" applyFont="1" applyFill="1" applyBorder="1" applyAlignment="1">
      <alignment horizontal="right" vertical="center"/>
    </xf>
    <xf numFmtId="167" fontId="8" fillId="0" borderId="8" xfId="1" applyNumberFormat="1" applyFont="1" applyBorder="1" applyAlignment="1">
      <alignment horizontal="right" vertical="center"/>
    </xf>
    <xf numFmtId="167" fontId="8" fillId="0" borderId="0" xfId="1" applyNumberFormat="1" applyFont="1" applyAlignment="1">
      <alignment horizontal="right" vertical="center"/>
    </xf>
    <xf numFmtId="164" fontId="8" fillId="0" borderId="7" xfId="0" applyNumberFormat="1" applyFont="1" applyBorder="1" applyAlignment="1">
      <alignment vertical="center"/>
    </xf>
    <xf numFmtId="167" fontId="8" fillId="4" borderId="11" xfId="1" applyNumberFormat="1" applyFont="1" applyFill="1" applyBorder="1" applyAlignment="1">
      <alignment horizontal="right" vertical="center"/>
    </xf>
    <xf numFmtId="164" fontId="6" fillId="0" borderId="12" xfId="0" applyNumberFormat="1" applyFont="1" applyBorder="1" applyAlignment="1">
      <alignment vertical="center"/>
    </xf>
    <xf numFmtId="164" fontId="6" fillId="0" borderId="2" xfId="0" applyNumberFormat="1" applyFont="1" applyBorder="1" applyAlignment="1">
      <alignment vertical="center"/>
    </xf>
    <xf numFmtId="178" fontId="6" fillId="0" borderId="4" xfId="1" applyNumberFormat="1" applyFont="1" applyBorder="1" applyAlignment="1">
      <alignment horizontal="right" vertical="center"/>
    </xf>
    <xf numFmtId="2" fontId="6" fillId="0" borderId="7" xfId="1" applyNumberFormat="1" applyFont="1" applyBorder="1" applyAlignment="1">
      <alignment horizontal="right" vertical="center"/>
    </xf>
    <xf numFmtId="179" fontId="6" fillId="0" borderId="4" xfId="1" applyNumberFormat="1" applyFont="1" applyBorder="1" applyAlignment="1">
      <alignment horizontal="right" vertical="center"/>
    </xf>
    <xf numFmtId="164" fontId="6" fillId="0" borderId="13" xfId="0" applyNumberFormat="1" applyFont="1" applyBorder="1" applyAlignment="1">
      <alignment vertical="center"/>
    </xf>
    <xf numFmtId="180" fontId="6" fillId="0" borderId="13" xfId="1" applyNumberFormat="1" applyFont="1" applyBorder="1" applyAlignment="1">
      <alignment horizontal="right" vertical="center"/>
    </xf>
    <xf numFmtId="0" fontId="4" fillId="2" borderId="2" xfId="0" applyFont="1" applyFill="1" applyBorder="1" applyAlignment="1">
      <alignment vertical="center" wrapText="1"/>
    </xf>
    <xf numFmtId="164" fontId="5" fillId="0" borderId="6" xfId="0" applyNumberFormat="1" applyFont="1" applyBorder="1" applyAlignment="1">
      <alignment vertical="center"/>
    </xf>
    <xf numFmtId="164" fontId="5" fillId="0" borderId="5" xfId="0" applyNumberFormat="1" applyFont="1" applyBorder="1" applyAlignment="1">
      <alignment vertical="center"/>
    </xf>
    <xf numFmtId="164" fontId="5" fillId="0" borderId="5" xfId="0" applyNumberFormat="1" applyFont="1" applyBorder="1"/>
    <xf numFmtId="3" fontId="0" fillId="0" borderId="6" xfId="0" applyNumberFormat="1" applyBorder="1" applyAlignment="1">
      <alignment vertical="center"/>
    </xf>
    <xf numFmtId="164" fontId="4" fillId="0" borderId="2" xfId="0" applyNumberFormat="1" applyFont="1" applyBorder="1" applyAlignment="1">
      <alignment vertical="center"/>
    </xf>
    <xf numFmtId="3" fontId="4" fillId="0" borderId="2" xfId="0" applyNumberFormat="1" applyFont="1" applyBorder="1" applyAlignment="1">
      <alignment vertical="center"/>
    </xf>
    <xf numFmtId="3" fontId="0" fillId="0" borderId="0" xfId="0" applyNumberFormat="1"/>
    <xf numFmtId="0" fontId="4" fillId="0" borderId="2" xfId="0" applyFont="1" applyBorder="1"/>
    <xf numFmtId="181" fontId="4" fillId="0" borderId="2" xfId="0" applyNumberFormat="1" applyFont="1" applyBorder="1"/>
    <xf numFmtId="0" fontId="11" fillId="0" borderId="4" xfId="0" applyFont="1" applyBorder="1"/>
    <xf numFmtId="181" fontId="11" fillId="0" borderId="4" xfId="0" applyNumberFormat="1" applyFont="1" applyBorder="1"/>
    <xf numFmtId="0" fontId="11" fillId="0" borderId="7" xfId="0" applyFont="1" applyBorder="1" applyAlignment="1">
      <alignment vertical="center"/>
    </xf>
    <xf numFmtId="182" fontId="11" fillId="0" borderId="7" xfId="0" applyNumberFormat="1" applyFont="1" applyBorder="1" applyAlignment="1">
      <alignment vertical="center"/>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xf>
    <xf numFmtId="3" fontId="0" fillId="0" borderId="17" xfId="0" applyNumberFormat="1" applyBorder="1" applyAlignment="1">
      <alignment vertical="center"/>
    </xf>
    <xf numFmtId="3" fontId="0" fillId="0" borderId="0" xfId="0" applyNumberFormat="1" applyAlignment="1">
      <alignment vertical="center"/>
    </xf>
    <xf numFmtId="164" fontId="13" fillId="0" borderId="5" xfId="0" applyNumberFormat="1" applyFont="1" applyBorder="1" applyAlignment="1">
      <alignment horizontal="left" indent="2"/>
    </xf>
    <xf numFmtId="3" fontId="13" fillId="0" borderId="5" xfId="0" applyNumberFormat="1" applyFont="1" applyBorder="1" applyAlignment="1">
      <alignment horizontal="right" indent="5"/>
    </xf>
    <xf numFmtId="164" fontId="4" fillId="0" borderId="6" xfId="0" applyNumberFormat="1" applyFont="1" applyBorder="1"/>
    <xf numFmtId="3" fontId="4" fillId="0" borderId="6" xfId="0" applyNumberFormat="1" applyFont="1" applyBorder="1"/>
    <xf numFmtId="3" fontId="4" fillId="0" borderId="0" xfId="0" applyNumberFormat="1" applyFont="1"/>
    <xf numFmtId="3" fontId="8" fillId="0" borderId="0" xfId="0" applyNumberFormat="1" applyFont="1"/>
    <xf numFmtId="9" fontId="8" fillId="0" borderId="0" xfId="1" applyFont="1"/>
    <xf numFmtId="3" fontId="13" fillId="0" borderId="18" xfId="0" applyNumberFormat="1" applyFont="1" applyBorder="1" applyAlignment="1">
      <alignment horizontal="right" indent="5"/>
    </xf>
    <xf numFmtId="0" fontId="11" fillId="0" borderId="0" xfId="0" applyFont="1" applyAlignment="1">
      <alignment horizontal="left" vertical="top" wrapText="1"/>
    </xf>
    <xf numFmtId="0" fontId="11" fillId="0" borderId="0" xfId="0" applyFont="1"/>
    <xf numFmtId="9" fontId="11" fillId="0" borderId="0" xfId="1" applyFont="1"/>
    <xf numFmtId="0" fontId="14" fillId="0" borderId="0" xfId="0" applyFont="1" applyAlignment="1">
      <alignment horizontal="center"/>
    </xf>
    <xf numFmtId="0" fontId="4" fillId="0" borderId="4" xfId="0" applyFont="1" applyBorder="1"/>
    <xf numFmtId="0" fontId="4" fillId="0" borderId="6" xfId="0" applyFont="1" applyBorder="1"/>
    <xf numFmtId="0" fontId="4" fillId="0" borderId="12" xfId="0" applyFont="1" applyBorder="1"/>
    <xf numFmtId="164" fontId="4" fillId="0" borderId="12" xfId="0" applyNumberFormat="1" applyFont="1" applyBorder="1"/>
    <xf numFmtId="1" fontId="5" fillId="0" borderId="0" xfId="0" applyNumberFormat="1" applyFont="1"/>
    <xf numFmtId="3" fontId="5" fillId="0" borderId="0" xfId="0" applyNumberFormat="1" applyFont="1"/>
    <xf numFmtId="166" fontId="6" fillId="0" borderId="4" xfId="1" applyNumberFormat="1" applyFont="1" applyFill="1" applyBorder="1" applyAlignment="1">
      <alignment horizontal="right" vertical="center"/>
    </xf>
    <xf numFmtId="168" fontId="6" fillId="0" borderId="6" xfId="1" applyNumberFormat="1" applyFont="1" applyFill="1" applyBorder="1" applyAlignment="1">
      <alignment horizontal="right" vertical="center"/>
    </xf>
    <xf numFmtId="169" fontId="6" fillId="0" borderId="7" xfId="1" applyNumberFormat="1" applyFont="1" applyFill="1" applyBorder="1" applyAlignment="1">
      <alignment horizontal="right" vertical="center"/>
    </xf>
    <xf numFmtId="173" fontId="6" fillId="0" borderId="7" xfId="1" applyNumberFormat="1" applyFont="1" applyFill="1" applyBorder="1" applyAlignment="1">
      <alignment horizontal="right" vertical="center"/>
    </xf>
    <xf numFmtId="174" fontId="6" fillId="0" borderId="7" xfId="1" applyNumberFormat="1" applyFont="1" applyFill="1" applyBorder="1" applyAlignment="1">
      <alignment horizontal="right" vertical="center"/>
    </xf>
    <xf numFmtId="175" fontId="6" fillId="0" borderId="4" xfId="1" applyNumberFormat="1" applyFont="1" applyFill="1" applyBorder="1" applyAlignment="1">
      <alignment vertical="center"/>
    </xf>
    <xf numFmtId="175" fontId="6" fillId="0" borderId="12" xfId="1" applyNumberFormat="1" applyFont="1" applyFill="1" applyBorder="1" applyAlignment="1">
      <alignment vertical="center"/>
    </xf>
    <xf numFmtId="3" fontId="0" fillId="0" borderId="14" xfId="0" applyNumberFormat="1" applyBorder="1" applyAlignment="1">
      <alignment vertical="center"/>
    </xf>
    <xf numFmtId="0" fontId="0" fillId="5" borderId="22" xfId="0" applyFill="1" applyBorder="1"/>
    <xf numFmtId="0" fontId="0" fillId="5" borderId="0" xfId="0" applyFill="1"/>
    <xf numFmtId="0" fontId="0" fillId="5" borderId="23" xfId="0" applyFill="1" applyBorder="1"/>
    <xf numFmtId="164" fontId="6" fillId="0" borderId="5" xfId="0" applyNumberFormat="1" applyFont="1" applyBorder="1" applyAlignment="1">
      <alignment vertical="center"/>
    </xf>
    <xf numFmtId="0" fontId="7" fillId="2" borderId="3" xfId="0" applyFont="1" applyFill="1" applyBorder="1" applyAlignment="1">
      <alignment vertical="top" wrapText="1"/>
    </xf>
    <xf numFmtId="164" fontId="8" fillId="0" borderId="17" xfId="0" applyNumberFormat="1" applyFont="1" applyBorder="1" applyAlignment="1">
      <alignment vertical="center"/>
    </xf>
    <xf numFmtId="164" fontId="8" fillId="0" borderId="11" xfId="0" applyNumberFormat="1" applyFont="1" applyBorder="1" applyAlignment="1">
      <alignment vertical="center"/>
    </xf>
    <xf numFmtId="164" fontId="5" fillId="0" borderId="14" xfId="0" applyNumberFormat="1" applyFont="1" applyBorder="1" applyAlignment="1">
      <alignment vertical="center"/>
    </xf>
    <xf numFmtId="164" fontId="5" fillId="0" borderId="28" xfId="0" applyNumberFormat="1" applyFont="1" applyBorder="1" applyAlignment="1">
      <alignment vertical="center"/>
    </xf>
    <xf numFmtId="164" fontId="5" fillId="0" borderId="28" xfId="0" applyNumberFormat="1" applyFont="1" applyBorder="1"/>
    <xf numFmtId="164" fontId="0" fillId="0" borderId="14" xfId="0" applyNumberFormat="1" applyBorder="1" applyAlignment="1">
      <alignment vertical="center"/>
    </xf>
    <xf numFmtId="164" fontId="4" fillId="0" borderId="18" xfId="0" applyNumberFormat="1" applyFont="1" applyBorder="1"/>
    <xf numFmtId="165" fontId="6" fillId="0" borderId="9" xfId="1" applyNumberFormat="1" applyFont="1" applyFill="1" applyBorder="1" applyAlignment="1">
      <alignment horizontal="right" vertical="center"/>
    </xf>
    <xf numFmtId="174" fontId="6" fillId="0" borderId="2" xfId="1" applyNumberFormat="1" applyFont="1" applyFill="1" applyBorder="1" applyAlignment="1">
      <alignment horizontal="right" vertical="center"/>
    </xf>
    <xf numFmtId="164" fontId="6" fillId="0" borderId="9" xfId="0" applyNumberFormat="1" applyFont="1" applyBorder="1" applyAlignment="1">
      <alignment vertical="center"/>
    </xf>
    <xf numFmtId="168" fontId="6" fillId="0" borderId="5" xfId="1" applyNumberFormat="1" applyFont="1" applyFill="1" applyBorder="1" applyAlignment="1">
      <alignment horizontal="right" vertical="center"/>
    </xf>
    <xf numFmtId="166" fontId="6" fillId="0" borderId="2" xfId="1" applyNumberFormat="1" applyFont="1" applyFill="1" applyBorder="1" applyAlignment="1">
      <alignment horizontal="right" vertical="center"/>
    </xf>
    <xf numFmtId="169" fontId="6" fillId="0" borderId="2" xfId="1" applyNumberFormat="1" applyFont="1" applyFill="1" applyBorder="1" applyAlignment="1">
      <alignment horizontal="right" vertical="center"/>
    </xf>
    <xf numFmtId="183" fontId="6" fillId="0" borderId="2" xfId="0" applyNumberFormat="1" applyFont="1" applyBorder="1" applyAlignment="1">
      <alignment vertical="center"/>
    </xf>
    <xf numFmtId="168" fontId="6" fillId="0" borderId="2" xfId="0" applyNumberFormat="1" applyFont="1" applyBorder="1" applyAlignment="1">
      <alignment vertical="center"/>
    </xf>
    <xf numFmtId="184" fontId="6" fillId="0" borderId="2" xfId="1" applyNumberFormat="1" applyFont="1" applyFill="1" applyBorder="1" applyAlignment="1">
      <alignment horizontal="right" vertical="center"/>
    </xf>
    <xf numFmtId="185" fontId="6" fillId="0" borderId="2" xfId="1" applyNumberFormat="1" applyFont="1" applyFill="1" applyBorder="1" applyAlignment="1">
      <alignment horizontal="right" vertical="center"/>
    </xf>
    <xf numFmtId="0" fontId="6" fillId="0" borderId="7" xfId="0" applyFont="1" applyBorder="1" applyAlignment="1">
      <alignment vertical="center"/>
    </xf>
    <xf numFmtId="186" fontId="6" fillId="0" borderId="4" xfId="0" applyNumberFormat="1" applyFont="1" applyBorder="1" applyAlignment="1">
      <alignment vertical="center"/>
    </xf>
    <xf numFmtId="187" fontId="6" fillId="0" borderId="4" xfId="1" applyNumberFormat="1" applyFont="1" applyBorder="1" applyAlignment="1">
      <alignment horizontal="right" vertical="center"/>
    </xf>
    <xf numFmtId="0" fontId="6" fillId="0" borderId="5" xfId="1" applyNumberFormat="1" applyFont="1" applyBorder="1" applyAlignment="1">
      <alignment horizontal="right" vertical="center"/>
    </xf>
    <xf numFmtId="3" fontId="4" fillId="0" borderId="5" xfId="0" applyNumberFormat="1" applyFont="1" applyBorder="1"/>
    <xf numFmtId="188" fontId="0" fillId="0" borderId="0" xfId="0" applyNumberFormat="1"/>
    <xf numFmtId="189" fontId="6" fillId="0" borderId="4" xfId="1" applyNumberFormat="1" applyFont="1" applyBorder="1" applyAlignment="1">
      <alignment horizontal="right" vertical="center"/>
    </xf>
    <xf numFmtId="190" fontId="6" fillId="0" borderId="2" xfId="1" applyNumberFormat="1" applyFont="1" applyFill="1" applyBorder="1" applyAlignment="1">
      <alignment horizontal="right" vertical="center"/>
    </xf>
    <xf numFmtId="0" fontId="4" fillId="0" borderId="0" xfId="0" applyFont="1"/>
    <xf numFmtId="166" fontId="4" fillId="0" borderId="0" xfId="0" applyNumberFormat="1" applyFont="1"/>
    <xf numFmtId="0" fontId="1" fillId="0" borderId="0" xfId="0" applyFont="1" applyAlignment="1">
      <alignment horizontal="center"/>
    </xf>
    <xf numFmtId="0" fontId="2" fillId="0" borderId="1" xfId="0" applyFont="1" applyBorder="1" applyAlignment="1">
      <alignment horizontal="center" vertical="top"/>
    </xf>
    <xf numFmtId="0" fontId="2" fillId="0" borderId="0" xfId="0" applyFont="1" applyAlignment="1">
      <alignment horizontal="center"/>
    </xf>
    <xf numFmtId="0" fontId="0" fillId="0" borderId="0" xfId="0" applyAlignment="1">
      <alignment horizontal="center"/>
    </xf>
    <xf numFmtId="0" fontId="4" fillId="2" borderId="3" xfId="0" applyFont="1" applyFill="1" applyBorder="1" applyAlignment="1">
      <alignment horizontal="center" vertical="top" wrapText="1"/>
    </xf>
    <xf numFmtId="164" fontId="6" fillId="0" borderId="9" xfId="0" applyNumberFormat="1" applyFont="1" applyBorder="1" applyAlignment="1">
      <alignment horizontal="center" vertical="center"/>
    </xf>
    <xf numFmtId="164" fontId="6" fillId="0" borderId="2"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0" borderId="4" xfId="0" applyNumberFormat="1" applyFont="1" applyBorder="1" applyAlignment="1">
      <alignment horizontal="center" vertical="center"/>
    </xf>
    <xf numFmtId="0" fontId="4" fillId="0" borderId="0" xfId="0" applyFont="1" applyAlignment="1">
      <alignment horizontal="center" vertical="top" wrapText="1"/>
    </xf>
    <xf numFmtId="0" fontId="7" fillId="2" borderId="3" xfId="0" applyFont="1" applyFill="1" applyBorder="1" applyAlignment="1">
      <alignment horizontal="center" vertical="top" wrapText="1"/>
    </xf>
    <xf numFmtId="164" fontId="8" fillId="0" borderId="17" xfId="0" applyNumberFormat="1" applyFont="1" applyBorder="1" applyAlignment="1">
      <alignment horizontal="center" vertical="center"/>
    </xf>
    <xf numFmtId="164" fontId="8" fillId="0" borderId="11" xfId="0" applyNumberFormat="1" applyFont="1" applyBorder="1" applyAlignment="1">
      <alignment horizontal="center" vertical="center"/>
    </xf>
    <xf numFmtId="164" fontId="6" fillId="0" borderId="12" xfId="0" applyNumberFormat="1" applyFont="1" applyBorder="1" applyAlignment="1">
      <alignment horizontal="center" vertical="center"/>
    </xf>
    <xf numFmtId="164" fontId="6" fillId="0" borderId="13"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28" xfId="0" applyNumberFormat="1" applyFont="1" applyBorder="1" applyAlignment="1">
      <alignment horizontal="center" vertical="center"/>
    </xf>
    <xf numFmtId="164" fontId="5" fillId="0" borderId="28" xfId="0" applyNumberFormat="1" applyFont="1" applyBorder="1" applyAlignment="1">
      <alignment horizontal="center"/>
    </xf>
    <xf numFmtId="164" fontId="0" fillId="0" borderId="14" xfId="0" applyNumberFormat="1" applyBorder="1" applyAlignment="1">
      <alignment horizontal="center" vertical="center"/>
    </xf>
    <xf numFmtId="164" fontId="4" fillId="0" borderId="2" xfId="0" applyNumberFormat="1" applyFont="1" applyBorder="1" applyAlignment="1">
      <alignment horizontal="center" vertical="center"/>
    </xf>
    <xf numFmtId="0" fontId="3" fillId="0" borderId="0" xfId="0" applyFont="1" applyAlignment="1">
      <alignment horizontal="center"/>
    </xf>
    <xf numFmtId="0" fontId="5" fillId="0" borderId="0" xfId="0" applyFont="1" applyAlignment="1">
      <alignment horizontal="center"/>
    </xf>
    <xf numFmtId="0" fontId="4" fillId="0" borderId="2" xfId="0" applyFont="1" applyBorder="1" applyAlignment="1">
      <alignment horizontal="center"/>
    </xf>
    <xf numFmtId="0" fontId="11" fillId="0" borderId="4" xfId="0" applyFont="1" applyBorder="1" applyAlignment="1">
      <alignment horizontal="center"/>
    </xf>
    <xf numFmtId="0" fontId="11" fillId="0" borderId="7" xfId="0" applyFont="1" applyBorder="1" applyAlignment="1">
      <alignment horizontal="center" vertical="center"/>
    </xf>
    <xf numFmtId="0" fontId="6" fillId="0" borderId="2" xfId="0" applyFont="1" applyBorder="1" applyAlignment="1">
      <alignment horizontal="center" vertical="center" wrapText="1"/>
    </xf>
    <xf numFmtId="164" fontId="13" fillId="0" borderId="5" xfId="0" applyNumberFormat="1" applyFont="1" applyBorder="1" applyAlignment="1">
      <alignment horizontal="center"/>
    </xf>
    <xf numFmtId="164" fontId="4" fillId="0" borderId="5" xfId="0" applyNumberFormat="1" applyFont="1" applyBorder="1" applyAlignment="1">
      <alignment horizontal="center"/>
    </xf>
    <xf numFmtId="164" fontId="5" fillId="0" borderId="18" xfId="0" applyNumberFormat="1" applyFont="1" applyBorder="1" applyAlignment="1">
      <alignment horizontal="center"/>
    </xf>
    <xf numFmtId="164" fontId="4" fillId="0" borderId="6" xfId="0" applyNumberFormat="1" applyFont="1" applyBorder="1" applyAlignment="1">
      <alignment horizontal="center"/>
    </xf>
    <xf numFmtId="164" fontId="4" fillId="0" borderId="18" xfId="0" applyNumberFormat="1" applyFont="1" applyBorder="1" applyAlignment="1">
      <alignment horizontal="center"/>
    </xf>
    <xf numFmtId="0" fontId="11" fillId="0" borderId="0" xfId="0" applyFont="1" applyAlignment="1">
      <alignment horizontal="center" vertical="top" wrapText="1"/>
    </xf>
    <xf numFmtId="0" fontId="4" fillId="0" borderId="4" xfId="0" applyFont="1" applyBorder="1" applyAlignment="1">
      <alignment horizontal="center"/>
    </xf>
    <xf numFmtId="0" fontId="4" fillId="0" borderId="6" xfId="0" applyFont="1" applyBorder="1" applyAlignment="1">
      <alignment horizontal="center"/>
    </xf>
    <xf numFmtId="0" fontId="4" fillId="0" borderId="12" xfId="0" applyFont="1" applyBorder="1" applyAlignment="1">
      <alignment horizontal="center"/>
    </xf>
    <xf numFmtId="164" fontId="4" fillId="0" borderId="12" xfId="0" applyNumberFormat="1" applyFont="1" applyBorder="1" applyAlignment="1">
      <alignment horizontal="center"/>
    </xf>
    <xf numFmtId="0" fontId="4" fillId="0" borderId="0" xfId="0" applyFont="1" applyAlignment="1">
      <alignment horizontal="center"/>
    </xf>
    <xf numFmtId="193" fontId="4" fillId="0" borderId="18" xfId="0" applyNumberFormat="1" applyFont="1" applyBorder="1"/>
    <xf numFmtId="9" fontId="0" fillId="0" borderId="14" xfId="3" applyFont="1" applyBorder="1" applyAlignment="1">
      <alignment vertical="center"/>
    </xf>
    <xf numFmtId="164" fontId="5" fillId="0" borderId="13" xfId="0" applyNumberFormat="1" applyFont="1" applyBorder="1" applyAlignment="1">
      <alignment vertical="center"/>
    </xf>
    <xf numFmtId="164" fontId="27" fillId="0" borderId="15" xfId="0" applyNumberFormat="1" applyFont="1" applyBorder="1" applyAlignment="1">
      <alignment horizontal="center" vertical="center"/>
    </xf>
    <xf numFmtId="164" fontId="27" fillId="0" borderId="15" xfId="0" applyNumberFormat="1" applyFont="1" applyBorder="1" applyAlignment="1">
      <alignment vertical="center"/>
    </xf>
    <xf numFmtId="3" fontId="27" fillId="0" borderId="15" xfId="0" applyNumberFormat="1" applyFont="1" applyBorder="1" applyAlignment="1">
      <alignment vertical="center"/>
    </xf>
    <xf numFmtId="3" fontId="27" fillId="0" borderId="13" xfId="0" applyNumberFormat="1" applyFont="1" applyBorder="1" applyAlignment="1">
      <alignment vertical="center"/>
    </xf>
    <xf numFmtId="164" fontId="5" fillId="0" borderId="15" xfId="0" applyNumberFormat="1" applyFont="1" applyBorder="1" applyAlignment="1">
      <alignment horizontal="center" vertical="center"/>
    </xf>
    <xf numFmtId="164" fontId="5" fillId="0" borderId="15" xfId="0" applyNumberFormat="1" applyFont="1" applyBorder="1" applyAlignment="1">
      <alignment vertical="center"/>
    </xf>
    <xf numFmtId="3" fontId="5" fillId="0" borderId="15" xfId="0" applyNumberFormat="1" applyFont="1" applyBorder="1" applyAlignment="1">
      <alignment vertical="center"/>
    </xf>
    <xf numFmtId="3" fontId="5" fillId="0" borderId="13" xfId="0" applyNumberFormat="1" applyFont="1" applyBorder="1" applyAlignment="1">
      <alignment vertical="center"/>
    </xf>
    <xf numFmtId="3" fontId="4" fillId="0" borderId="0" xfId="0" applyNumberFormat="1" applyFont="1" applyAlignment="1">
      <alignment vertical="center"/>
    </xf>
    <xf numFmtId="164" fontId="4" fillId="0" borderId="0" xfId="0" applyNumberFormat="1" applyFont="1" applyAlignment="1">
      <alignment vertical="center"/>
    </xf>
    <xf numFmtId="164" fontId="4" fillId="0" borderId="0" xfId="0" applyNumberFormat="1" applyFont="1" applyAlignment="1">
      <alignment horizontal="center" vertical="center"/>
    </xf>
    <xf numFmtId="164" fontId="4" fillId="0" borderId="3" xfId="0" applyNumberFormat="1" applyFont="1" applyBorder="1" applyAlignment="1">
      <alignment vertical="center"/>
    </xf>
    <xf numFmtId="164" fontId="4" fillId="0" borderId="29" xfId="0" applyNumberFormat="1" applyFont="1" applyBorder="1" applyAlignment="1">
      <alignment horizontal="center" vertical="center"/>
    </xf>
    <xf numFmtId="3" fontId="4" fillId="0" borderId="29" xfId="0" applyNumberFormat="1" applyFont="1" applyBorder="1" applyAlignment="1">
      <alignment vertical="center"/>
    </xf>
    <xf numFmtId="0" fontId="22" fillId="5" borderId="0" xfId="0" applyFont="1" applyFill="1" applyAlignment="1">
      <alignment horizontal="center"/>
    </xf>
    <xf numFmtId="0" fontId="23" fillId="5" borderId="0" xfId="0" applyFont="1" applyFill="1" applyAlignment="1">
      <alignment horizontal="left"/>
    </xf>
    <xf numFmtId="0" fontId="17" fillId="5" borderId="0" xfId="0" applyFont="1" applyFill="1"/>
    <xf numFmtId="0" fontId="21" fillId="5" borderId="0" xfId="0" applyFont="1" applyFill="1"/>
    <xf numFmtId="0" fontId="20" fillId="5" borderId="0" xfId="0" applyFont="1" applyFill="1"/>
    <xf numFmtId="0" fontId="6" fillId="5" borderId="0" xfId="0" applyFont="1" applyFill="1"/>
    <xf numFmtId="0" fontId="18" fillId="5" borderId="26" xfId="0" applyFont="1" applyFill="1" applyBorder="1" applyAlignment="1">
      <alignment wrapText="1"/>
    </xf>
    <xf numFmtId="0" fontId="19" fillId="5" borderId="0" xfId="0" applyFont="1" applyFill="1"/>
    <xf numFmtId="0" fontId="17" fillId="5" borderId="22" xfId="0" applyFont="1" applyFill="1" applyBorder="1"/>
    <xf numFmtId="0" fontId="17" fillId="5" borderId="23" xfId="0" applyFont="1" applyFill="1" applyBorder="1"/>
    <xf numFmtId="0" fontId="2" fillId="5" borderId="26" xfId="0" applyFont="1" applyFill="1" applyBorder="1" applyAlignment="1">
      <alignment vertical="top"/>
    </xf>
    <xf numFmtId="0" fontId="17" fillId="5" borderId="16" xfId="0" applyFont="1" applyFill="1" applyBorder="1"/>
    <xf numFmtId="0" fontId="17" fillId="5" borderId="27" xfId="0" applyFont="1" applyFill="1" applyBorder="1"/>
    <xf numFmtId="0" fontId="17" fillId="5" borderId="22" xfId="0" applyFont="1" applyFill="1" applyBorder="1" applyAlignment="1">
      <alignment wrapText="1"/>
    </xf>
    <xf numFmtId="0" fontId="18" fillId="5" borderId="19" xfId="0" applyFont="1" applyFill="1" applyBorder="1"/>
    <xf numFmtId="0" fontId="17" fillId="5" borderId="20" xfId="0" applyFont="1" applyFill="1" applyBorder="1"/>
    <xf numFmtId="0" fontId="17" fillId="5" borderId="21" xfId="0" applyFont="1" applyFill="1" applyBorder="1"/>
    <xf numFmtId="0" fontId="18" fillId="5" borderId="22" xfId="0" applyFont="1" applyFill="1" applyBorder="1"/>
    <xf numFmtId="0" fontId="28" fillId="5" borderId="22" xfId="0" applyFont="1" applyFill="1" applyBorder="1"/>
    <xf numFmtId="0" fontId="28" fillId="5" borderId="23" xfId="0" applyFont="1" applyFill="1" applyBorder="1"/>
    <xf numFmtId="0" fontId="17" fillId="5" borderId="24" xfId="0" applyFont="1" applyFill="1" applyBorder="1"/>
    <xf numFmtId="0" fontId="17" fillId="5" borderId="1" xfId="0" applyFont="1" applyFill="1" applyBorder="1"/>
    <xf numFmtId="0" fontId="17" fillId="5" borderId="25" xfId="0" applyFont="1" applyFill="1" applyBorder="1"/>
    <xf numFmtId="0" fontId="28" fillId="5" borderId="24" xfId="0" applyFont="1" applyFill="1" applyBorder="1"/>
    <xf numFmtId="194" fontId="28" fillId="5" borderId="1" xfId="2" applyNumberFormat="1" applyFont="1" applyFill="1" applyBorder="1"/>
    <xf numFmtId="0" fontId="28" fillId="5" borderId="25" xfId="0" applyFont="1" applyFill="1" applyBorder="1"/>
    <xf numFmtId="194" fontId="28" fillId="5" borderId="0" xfId="2" applyNumberFormat="1" applyFont="1" applyFill="1" applyBorder="1"/>
    <xf numFmtId="194" fontId="17" fillId="5" borderId="0" xfId="2" applyNumberFormat="1" applyFont="1" applyFill="1"/>
    <xf numFmtId="194" fontId="28" fillId="5" borderId="0" xfId="0" applyNumberFormat="1" applyFont="1" applyFill="1"/>
    <xf numFmtId="0" fontId="4" fillId="0" borderId="31" xfId="0" applyFont="1" applyBorder="1"/>
    <xf numFmtId="0" fontId="4" fillId="0" borderId="31" xfId="0" applyFont="1" applyBorder="1" applyAlignment="1">
      <alignment horizontal="center"/>
    </xf>
    <xf numFmtId="191" fontId="4" fillId="0" borderId="31" xfId="0" applyNumberFormat="1" applyFont="1" applyBorder="1"/>
    <xf numFmtId="166" fontId="4" fillId="0" borderId="31" xfId="0" applyNumberFormat="1" applyFont="1" applyBorder="1"/>
    <xf numFmtId="166" fontId="25" fillId="0" borderId="31" xfId="0" applyNumberFormat="1" applyFont="1" applyBorder="1"/>
    <xf numFmtId="168" fontId="4" fillId="0" borderId="31" xfId="0" applyNumberFormat="1" applyFont="1" applyBorder="1"/>
    <xf numFmtId="192" fontId="6" fillId="0" borderId="2" xfId="1" applyNumberFormat="1" applyFont="1" applyFill="1" applyBorder="1" applyAlignment="1">
      <alignment horizontal="right" vertical="center"/>
    </xf>
    <xf numFmtId="164" fontId="5" fillId="0" borderId="4" xfId="0" applyNumberFormat="1" applyFont="1" applyBorder="1" applyAlignment="1">
      <alignment vertical="center"/>
    </xf>
    <xf numFmtId="164" fontId="5" fillId="0" borderId="10" xfId="0" applyNumberFormat="1" applyFont="1" applyBorder="1" applyAlignment="1">
      <alignment horizontal="center" vertical="center"/>
    </xf>
    <xf numFmtId="164" fontId="5" fillId="0" borderId="10" xfId="0" applyNumberFormat="1" applyFont="1" applyBorder="1" applyAlignment="1">
      <alignment vertical="center"/>
    </xf>
    <xf numFmtId="164" fontId="0" fillId="0" borderId="10" xfId="0" applyNumberFormat="1" applyBorder="1" applyAlignment="1">
      <alignment horizontal="center" vertical="center"/>
    </xf>
    <xf numFmtId="164" fontId="0" fillId="0" borderId="10" xfId="0" applyNumberFormat="1" applyBorder="1" applyAlignment="1">
      <alignment vertical="center"/>
    </xf>
    <xf numFmtId="164" fontId="0" fillId="0" borderId="11" xfId="0" applyNumberFormat="1" applyBorder="1" applyAlignment="1">
      <alignment horizontal="center" vertical="center"/>
    </xf>
    <xf numFmtId="164" fontId="0" fillId="0" borderId="11" xfId="0" applyNumberFormat="1" applyBorder="1" applyAlignment="1">
      <alignment vertical="center"/>
    </xf>
    <xf numFmtId="10" fontId="0" fillId="0" borderId="0" xfId="3" applyNumberFormat="1" applyFont="1"/>
    <xf numFmtId="177" fontId="29" fillId="6" borderId="2" xfId="4" applyNumberFormat="1" applyBorder="1" applyAlignment="1">
      <alignment horizontal="right" vertical="center"/>
    </xf>
    <xf numFmtId="3" fontId="29" fillId="6" borderId="15" xfId="4" applyNumberFormat="1" applyBorder="1" applyAlignment="1">
      <alignment vertical="center"/>
    </xf>
    <xf numFmtId="0" fontId="30" fillId="0" borderId="0" xfId="0" applyFont="1"/>
    <xf numFmtId="173" fontId="6" fillId="0" borderId="0" xfId="1" applyNumberFormat="1" applyFont="1" applyFill="1" applyBorder="1" applyAlignment="1">
      <alignment horizontal="left" vertical="center"/>
    </xf>
    <xf numFmtId="166" fontId="0" fillId="5" borderId="4" xfId="0" applyNumberFormat="1" applyFill="1" applyBorder="1"/>
    <xf numFmtId="166" fontId="0" fillId="5" borderId="6" xfId="0" applyNumberFormat="1" applyFill="1" applyBorder="1"/>
    <xf numFmtId="166" fontId="0" fillId="5" borderId="12" xfId="0" applyNumberFormat="1" applyFill="1" applyBorder="1"/>
    <xf numFmtId="166" fontId="0" fillId="5" borderId="18" xfId="0" applyNumberFormat="1" applyFill="1" applyBorder="1"/>
    <xf numFmtId="166" fontId="31" fillId="5" borderId="2" xfId="0" applyNumberFormat="1" applyFont="1" applyFill="1" applyBorder="1"/>
    <xf numFmtId="3" fontId="0" fillId="5" borderId="4" xfId="0" applyNumberFormat="1" applyFill="1" applyBorder="1" applyAlignment="1">
      <alignment vertical="center"/>
    </xf>
    <xf numFmtId="3" fontId="0" fillId="5" borderId="6" xfId="0" applyNumberFormat="1" applyFill="1" applyBorder="1" applyAlignment="1">
      <alignment vertical="center"/>
    </xf>
    <xf numFmtId="3" fontId="0" fillId="5" borderId="14" xfId="0" applyNumberFormat="1" applyFill="1" applyBorder="1" applyAlignment="1">
      <alignment vertical="center"/>
    </xf>
    <xf numFmtId="3" fontId="31" fillId="5" borderId="2" xfId="0" applyNumberFormat="1" applyFont="1" applyFill="1" applyBorder="1" applyAlignment="1">
      <alignment vertical="center"/>
    </xf>
    <xf numFmtId="3" fontId="31" fillId="5" borderId="0" xfId="0" applyNumberFormat="1" applyFont="1" applyFill="1" applyAlignment="1">
      <alignment vertical="center"/>
    </xf>
    <xf numFmtId="3" fontId="0" fillId="5" borderId="7" xfId="0" applyNumberFormat="1" applyFill="1" applyBorder="1" applyAlignment="1">
      <alignment vertical="center"/>
    </xf>
    <xf numFmtId="3" fontId="31" fillId="5" borderId="29" xfId="0" applyNumberFormat="1" applyFont="1" applyFill="1" applyBorder="1" applyAlignment="1">
      <alignment vertical="center"/>
    </xf>
    <xf numFmtId="3" fontId="31" fillId="5" borderId="30" xfId="0" applyNumberFormat="1" applyFont="1" applyFill="1" applyBorder="1" applyAlignment="1">
      <alignment vertical="center"/>
    </xf>
    <xf numFmtId="176" fontId="6" fillId="5" borderId="4" xfId="1" applyNumberFormat="1" applyFont="1" applyFill="1" applyBorder="1" applyAlignment="1">
      <alignment horizontal="right" vertical="center"/>
    </xf>
    <xf numFmtId="176" fontId="6" fillId="5" borderId="7" xfId="1" applyNumberFormat="1" applyFont="1" applyFill="1" applyBorder="1" applyAlignment="1">
      <alignment horizontal="right" vertical="center"/>
    </xf>
    <xf numFmtId="164" fontId="5" fillId="0" borderId="18" xfId="0" applyNumberFormat="1" applyFont="1" applyBorder="1" applyAlignment="1">
      <alignment vertical="center"/>
    </xf>
    <xf numFmtId="164" fontId="5" fillId="0" borderId="8" xfId="0" applyNumberFormat="1" applyFont="1" applyBorder="1" applyAlignment="1">
      <alignment horizontal="center" vertical="center"/>
    </xf>
    <xf numFmtId="164" fontId="5" fillId="0" borderId="8" xfId="0" applyNumberFormat="1" applyFont="1" applyBorder="1" applyAlignment="1">
      <alignment vertical="center"/>
    </xf>
    <xf numFmtId="3" fontId="29" fillId="6" borderId="8" xfId="4" applyNumberFormat="1" applyBorder="1" applyAlignment="1">
      <alignment vertical="center"/>
    </xf>
    <xf numFmtId="3" fontId="5" fillId="0" borderId="8" xfId="0" applyNumberFormat="1" applyFont="1" applyBorder="1" applyAlignment="1">
      <alignment vertical="center"/>
    </xf>
    <xf numFmtId="3" fontId="5" fillId="0" borderId="18" xfId="0" applyNumberFormat="1" applyFont="1" applyBorder="1" applyAlignment="1">
      <alignment vertical="center"/>
    </xf>
    <xf numFmtId="0" fontId="18" fillId="5" borderId="16" xfId="0" applyFont="1" applyFill="1" applyBorder="1" applyAlignment="1">
      <alignment horizontal="center" wrapText="1"/>
    </xf>
    <xf numFmtId="0" fontId="18" fillId="5" borderId="27" xfId="0" applyFont="1" applyFill="1" applyBorder="1" applyAlignment="1">
      <alignment horizontal="center" wrapText="1"/>
    </xf>
    <xf numFmtId="0" fontId="24" fillId="5" borderId="0" xfId="0" applyFont="1" applyFill="1" applyAlignment="1">
      <alignment horizontal="left"/>
    </xf>
    <xf numFmtId="0" fontId="20" fillId="5" borderId="19" xfId="0" applyFont="1" applyFill="1" applyBorder="1" applyAlignment="1">
      <alignment horizontal="center"/>
    </xf>
    <xf numFmtId="0" fontId="20" fillId="5" borderId="20" xfId="0" applyFont="1" applyFill="1" applyBorder="1" applyAlignment="1">
      <alignment horizontal="center"/>
    </xf>
    <xf numFmtId="0" fontId="20" fillId="5" borderId="21" xfId="0" applyFont="1" applyFill="1" applyBorder="1" applyAlignment="1">
      <alignment horizontal="center"/>
    </xf>
    <xf numFmtId="180" fontId="6" fillId="0" borderId="0" xfId="1" applyNumberFormat="1" applyFont="1" applyBorder="1" applyAlignment="1">
      <alignment horizontal="center" vertical="center"/>
    </xf>
    <xf numFmtId="194" fontId="17" fillId="4" borderId="0" xfId="2" applyNumberFormat="1" applyFont="1" applyFill="1" applyProtection="1">
      <protection locked="0"/>
    </xf>
  </cellXfs>
  <cellStyles count="5">
    <cellStyle name="Komma" xfId="2" builtinId="3"/>
    <cellStyle name="Prozent" xfId="3" builtinId="5"/>
    <cellStyle name="Prozent 2" xfId="1" xr:uid="{EAD1ECE6-7CB3-44E5-8429-4E8BB0F4DEA7}"/>
    <cellStyle name="Schlecht" xfId="4" builtinId="27"/>
    <cellStyle name="Standard" xfId="0" builtinId="0"/>
  </cellStyles>
  <dxfs count="0"/>
  <tableStyles count="0" defaultTableStyle="TableStyleMedium2" defaultPivotStyle="PivotStyleLight16"/>
  <colors>
    <mruColors>
      <color rgb="FFEFFFFF"/>
      <color rgb="FFCCFFFF"/>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de-CH"/>
              <a:t>Investitionskosten Wärmeerzeugung über 30 Jahre total</a:t>
            </a:r>
          </a:p>
        </c:rich>
      </c:tx>
      <c:layout>
        <c:manualLayout>
          <c:xMode val="edge"/>
          <c:yMode val="edge"/>
          <c:x val="0.25529722577513059"/>
          <c:y val="4.82642490124951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873499152586329"/>
          <c:y val="0.17575304414003046"/>
          <c:w val="0.76117490272382637"/>
          <c:h val="0.55540164557155658"/>
        </c:manualLayout>
      </c:layout>
      <c:barChart>
        <c:barDir val="col"/>
        <c:grouping val="stacked"/>
        <c:varyColors val="0"/>
        <c:ser>
          <c:idx val="0"/>
          <c:order val="0"/>
          <c:tx>
            <c:strRef>
              <c:f>kostenberechnung!$A$67</c:f>
              <c:strCache>
                <c:ptCount val="1"/>
                <c:pt idx="0">
                  <c:v>Total Investitionen</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AE71-478B-859A-BA45CCAD3E7F}"/>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3-AE71-478B-859A-BA45CCAD3E7F}"/>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5-AE71-478B-859A-BA45CCAD3E7F}"/>
              </c:ext>
            </c:extLst>
          </c:dPt>
          <c:cat>
            <c:strRef>
              <c:f>kostenberechnung!$D$50:$J$50</c:f>
              <c:strCache>
                <c:ptCount val="7"/>
                <c:pt idx="0">
                  <c:v>See-Energie Verbund</c:v>
                </c:pt>
                <c:pt idx="1">
                  <c:v>Heizöl</c:v>
                </c:pt>
                <c:pt idx="2">
                  <c:v>Erdgas (fossiles)</c:v>
                </c:pt>
                <c:pt idx="3">
                  <c:v>Erdsonden WP</c:v>
                </c:pt>
                <c:pt idx="4">
                  <c:v>Grundwasser WP</c:v>
                </c:pt>
                <c:pt idx="5">
                  <c:v>Luft/Wasser WP</c:v>
                </c:pt>
                <c:pt idx="6">
                  <c:v>Holzpellets</c:v>
                </c:pt>
              </c:strCache>
            </c:strRef>
          </c:cat>
          <c:val>
            <c:numRef>
              <c:f>kostenberechnung!$D$67:$J$67</c:f>
              <c:numCache>
                <c:formatCode>#,##0</c:formatCode>
                <c:ptCount val="7"/>
                <c:pt idx="0">
                  <c:v>2205</c:v>
                </c:pt>
                <c:pt idx="1">
                  <c:v>7080</c:v>
                </c:pt>
                <c:pt idx="2">
                  <c:v>8310</c:v>
                </c:pt>
                <c:pt idx="3">
                  <c:v>53949.071428571428</c:v>
                </c:pt>
                <c:pt idx="4">
                  <c:v>41716.03571428571</c:v>
                </c:pt>
                <c:pt idx="5">
                  <c:v>47444.549999999988</c:v>
                </c:pt>
                <c:pt idx="6">
                  <c:v>29610.9375</c:v>
                </c:pt>
              </c:numCache>
            </c:numRef>
          </c:val>
          <c:extLst>
            <c:ext xmlns:c16="http://schemas.microsoft.com/office/drawing/2014/chart" uri="{C3380CC4-5D6E-409C-BE32-E72D297353CC}">
              <c16:uniqueId val="{00000006-AE71-478B-859A-BA45CCAD3E7F}"/>
            </c:ext>
          </c:extLst>
        </c:ser>
        <c:dLbls>
          <c:showLegendKey val="0"/>
          <c:showVal val="0"/>
          <c:showCatName val="0"/>
          <c:showSerName val="0"/>
          <c:showPercent val="0"/>
          <c:showBubbleSize val="0"/>
        </c:dLbls>
        <c:gapWidth val="150"/>
        <c:overlap val="100"/>
        <c:axId val="106260352"/>
        <c:axId val="106261888"/>
      </c:barChart>
      <c:catAx>
        <c:axId val="10626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6261888"/>
        <c:crosses val="autoZero"/>
        <c:auto val="1"/>
        <c:lblAlgn val="ctr"/>
        <c:lblOffset val="100"/>
        <c:tickLblSkip val="1"/>
        <c:tickMarkSkip val="1"/>
        <c:noMultiLvlLbl val="0"/>
      </c:catAx>
      <c:valAx>
        <c:axId val="106261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r>
                  <a:rPr lang="de-CH"/>
                  <a:t>CHF</a:t>
                </a:r>
              </a:p>
            </c:rich>
          </c:tx>
          <c:layout>
            <c:manualLayout>
              <c:xMode val="edge"/>
              <c:yMode val="edge"/>
              <c:x val="1.2785388127853882E-2"/>
              <c:y val="0.455509022746790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title>
        <c:numFmt formatCode="#,##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6260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CH"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de-CH" sz="1400"/>
              <a:t>CO</a:t>
            </a:r>
            <a:r>
              <a:rPr lang="de-CH" sz="1400" baseline="-25000"/>
              <a:t>2</a:t>
            </a:r>
            <a:r>
              <a:rPr lang="de-CH" sz="1400"/>
              <a:t>-Emmissionen</a:t>
            </a:r>
          </a:p>
        </c:rich>
      </c:tx>
      <c:layout>
        <c:manualLayout>
          <c:xMode val="edge"/>
          <c:yMode val="edge"/>
          <c:x val="0.37858840655276438"/>
          <c:y val="3.1715342847305129E-2"/>
        </c:manualLayout>
      </c:layout>
      <c:overlay val="0"/>
      <c:spPr>
        <a:noFill/>
        <a:ln>
          <a:noFill/>
        </a:ln>
        <a:effectLst/>
      </c:spPr>
      <c:txPr>
        <a:bodyPr rot="0" spcFirstLastPara="1" vertOverflow="ellipsis" vert="horz" wrap="square" anchor="ctr" anchorCtr="1"/>
        <a:lstStyle/>
        <a:p>
          <a:pPr>
            <a:defRPr lang="de-CH"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3497244118229129"/>
          <c:y val="0.13067177191709964"/>
          <c:w val="0.8443913283313712"/>
          <c:h val="0.59717623365969152"/>
        </c:manualLayout>
      </c:layout>
      <c:barChart>
        <c:barDir val="col"/>
        <c:grouping val="stacked"/>
        <c:varyColors val="0"/>
        <c:ser>
          <c:idx val="0"/>
          <c:order val="0"/>
          <c:tx>
            <c:strRef>
              <c:f>kostenberechnung!$A$82</c:f>
              <c:strCache>
                <c:ptCount val="1"/>
                <c:pt idx="0">
                  <c:v>CO2-Emissionen [t/a]</c:v>
                </c:pt>
              </c:strCache>
            </c:strRef>
          </c:tx>
          <c:spPr>
            <a:solidFill>
              <a:schemeClr val="bg1">
                <a:lumMod val="50000"/>
              </a:schemeClr>
            </a:solidFill>
            <a:ln>
              <a:noFill/>
            </a:ln>
            <a:effectLst/>
          </c:spPr>
          <c:invertIfNegative val="0"/>
          <c:dPt>
            <c:idx val="0"/>
            <c:invertIfNegative val="0"/>
            <c:bubble3D val="0"/>
            <c:spPr>
              <a:solidFill>
                <a:schemeClr val="bg1">
                  <a:lumMod val="50000"/>
                </a:schemeClr>
              </a:solidFill>
              <a:ln>
                <a:noFill/>
              </a:ln>
              <a:effectLst/>
            </c:spPr>
            <c:extLst>
              <c:ext xmlns:c16="http://schemas.microsoft.com/office/drawing/2014/chart" uri="{C3380CC4-5D6E-409C-BE32-E72D297353CC}">
                <c16:uniqueId val="{00000001-1478-419C-A2FD-08DC868A3958}"/>
              </c:ext>
            </c:extLst>
          </c:dPt>
          <c:dPt>
            <c:idx val="1"/>
            <c:invertIfNegative val="0"/>
            <c:bubble3D val="0"/>
            <c:spPr>
              <a:solidFill>
                <a:schemeClr val="bg1">
                  <a:lumMod val="50000"/>
                </a:schemeClr>
              </a:solidFill>
              <a:ln>
                <a:noFill/>
              </a:ln>
              <a:effectLst/>
            </c:spPr>
            <c:extLst>
              <c:ext xmlns:c16="http://schemas.microsoft.com/office/drawing/2014/chart" uri="{C3380CC4-5D6E-409C-BE32-E72D297353CC}">
                <c16:uniqueId val="{00000003-1478-419C-A2FD-08DC868A3958}"/>
              </c:ext>
            </c:extLst>
          </c:dPt>
          <c:dPt>
            <c:idx val="2"/>
            <c:invertIfNegative val="0"/>
            <c:bubble3D val="0"/>
            <c:spPr>
              <a:solidFill>
                <a:schemeClr val="bg1">
                  <a:lumMod val="50000"/>
                </a:schemeClr>
              </a:solidFill>
              <a:ln>
                <a:noFill/>
              </a:ln>
              <a:effectLst/>
            </c:spPr>
            <c:extLst>
              <c:ext xmlns:c16="http://schemas.microsoft.com/office/drawing/2014/chart" uri="{C3380CC4-5D6E-409C-BE32-E72D297353CC}">
                <c16:uniqueId val="{00000005-1478-419C-A2FD-08DC868A3958}"/>
              </c:ext>
            </c:extLst>
          </c:dPt>
          <c:cat>
            <c:strRef>
              <c:f>kostenberechnung!$D$81:$J$81</c:f>
              <c:strCache>
                <c:ptCount val="7"/>
                <c:pt idx="0">
                  <c:v>See-Energie Verbund</c:v>
                </c:pt>
                <c:pt idx="1">
                  <c:v>Heizöl</c:v>
                </c:pt>
                <c:pt idx="2">
                  <c:v>Erdgas (fossiles)</c:v>
                </c:pt>
                <c:pt idx="3">
                  <c:v>Erdsonden WP</c:v>
                </c:pt>
                <c:pt idx="4">
                  <c:v>Grundwasser WP</c:v>
                </c:pt>
                <c:pt idx="5">
                  <c:v>Luft/Wasser WP</c:v>
                </c:pt>
                <c:pt idx="6">
                  <c:v>Holzpellets</c:v>
                </c:pt>
              </c:strCache>
            </c:strRef>
          </c:cat>
          <c:val>
            <c:numRef>
              <c:f>kostenberechnung!$D$82:$J$82</c:f>
              <c:numCache>
                <c:formatCode>0.0\ "t/a"</c:formatCode>
                <c:ptCount val="7"/>
                <c:pt idx="0">
                  <c:v>0.09</c:v>
                </c:pt>
                <c:pt idx="1">
                  <c:v>11.175000000000001</c:v>
                </c:pt>
                <c:pt idx="2">
                  <c:v>8.5500000000000007</c:v>
                </c:pt>
                <c:pt idx="3">
                  <c:v>0.14699999999999999</c:v>
                </c:pt>
                <c:pt idx="4">
                  <c:v>0.14699999999999999</c:v>
                </c:pt>
                <c:pt idx="5">
                  <c:v>0.14699999999999999</c:v>
                </c:pt>
                <c:pt idx="6">
                  <c:v>1.4571428571428573</c:v>
                </c:pt>
              </c:numCache>
            </c:numRef>
          </c:val>
          <c:extLst>
            <c:ext xmlns:c16="http://schemas.microsoft.com/office/drawing/2014/chart" uri="{C3380CC4-5D6E-409C-BE32-E72D297353CC}">
              <c16:uniqueId val="{00000006-1478-419C-A2FD-08DC868A3958}"/>
            </c:ext>
          </c:extLst>
        </c:ser>
        <c:dLbls>
          <c:showLegendKey val="0"/>
          <c:showVal val="0"/>
          <c:showCatName val="0"/>
          <c:showSerName val="0"/>
          <c:showPercent val="0"/>
          <c:showBubbleSize val="0"/>
        </c:dLbls>
        <c:gapWidth val="150"/>
        <c:overlap val="100"/>
        <c:axId val="106260352"/>
        <c:axId val="106261888"/>
      </c:barChart>
      <c:catAx>
        <c:axId val="10626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6261888"/>
        <c:crosses val="autoZero"/>
        <c:auto val="1"/>
        <c:lblAlgn val="ctr"/>
        <c:lblOffset val="100"/>
        <c:tickLblSkip val="1"/>
        <c:tickMarkSkip val="1"/>
        <c:noMultiLvlLbl val="0"/>
      </c:catAx>
      <c:valAx>
        <c:axId val="106261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r>
                  <a:rPr lang="de-CH"/>
                  <a:t>t CO2-eq / a</a:t>
                </a:r>
              </a:p>
            </c:rich>
          </c:tx>
          <c:layout>
            <c:manualLayout>
              <c:xMode val="edge"/>
              <c:yMode val="edge"/>
              <c:x val="1.5733973081272768E-2"/>
              <c:y val="0.37073638615794052"/>
            </c:manualLayout>
          </c:layout>
          <c:overlay val="0"/>
          <c:spPr>
            <a:noFill/>
            <a:ln>
              <a:noFill/>
            </a:ln>
            <a:effectLst/>
          </c:spPr>
          <c:txPr>
            <a:bodyPr rot="-5400000" spcFirstLastPara="1" vertOverflow="ellipsis" vert="horz"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title>
        <c:numFmt formatCode="#,##0.0;[Red]#,##0.0" sourceLinked="0"/>
        <c:majorTickMark val="none"/>
        <c:minorTickMark val="none"/>
        <c:tickLblPos val="nextTo"/>
        <c:spPr>
          <a:noFill/>
          <a:ln>
            <a:noFill/>
          </a:ln>
          <a:effectLst/>
        </c:spPr>
        <c:txPr>
          <a:bodyPr rot="0" spcFirstLastPara="1" vertOverflow="ellipsis"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6260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CH" sz="1400" b="0" i="0" u="none" strike="noStrike" kern="1200" spc="0" baseline="0">
                <a:solidFill>
                  <a:schemeClr val="tx1"/>
                </a:solidFill>
                <a:latin typeface="Arial" panose="020B0604020202020204" pitchFamily="34" charset="0"/>
                <a:ea typeface="+mn-ea"/>
                <a:cs typeface="Arial" panose="020B0604020202020204" pitchFamily="34" charset="0"/>
              </a:defRPr>
            </a:pPr>
            <a:r>
              <a:rPr lang="de-CH" sz="1400"/>
              <a:t>Wärmekosten Gesamtbetrachtung mit Kapitalkosten für Investitionen</a:t>
            </a:r>
          </a:p>
        </c:rich>
      </c:tx>
      <c:layout>
        <c:manualLayout>
          <c:xMode val="edge"/>
          <c:yMode val="edge"/>
          <c:x val="0.12460774187868057"/>
          <c:y val="3.1715362663597584E-2"/>
        </c:manualLayout>
      </c:layout>
      <c:overlay val="0"/>
      <c:spPr>
        <a:noFill/>
        <a:ln>
          <a:noFill/>
        </a:ln>
        <a:effectLst/>
      </c:spPr>
      <c:txPr>
        <a:bodyPr rot="0" spcFirstLastPara="1" vertOverflow="ellipsis" vert="horz" wrap="square" anchor="ctr" anchorCtr="1"/>
        <a:lstStyle/>
        <a:p>
          <a:pPr>
            <a:defRPr lang="de-CH" sz="1400" b="0" i="0" u="none" strike="noStrike" kern="1200" spc="0" baseline="0">
              <a:solidFill>
                <a:schemeClr val="tx1"/>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1871007666601752"/>
          <c:y val="0.13067177191709964"/>
          <c:w val="0.8594348801420516"/>
          <c:h val="0.58168888657242401"/>
        </c:manualLayout>
      </c:layout>
      <c:barChart>
        <c:barDir val="col"/>
        <c:grouping val="stacked"/>
        <c:varyColors val="0"/>
        <c:ser>
          <c:idx val="0"/>
          <c:order val="0"/>
          <c:tx>
            <c:strRef>
              <c:f>kostenberechnung!$A$106</c:f>
              <c:strCache>
                <c:ptCount val="1"/>
                <c:pt idx="0">
                  <c:v>Investitionskosten mit Kapitalkosten</c:v>
                </c:pt>
              </c:strCache>
            </c:strRef>
          </c:tx>
          <c:spPr>
            <a:solidFill>
              <a:schemeClr val="accent1"/>
            </a:solidFill>
            <a:ln>
              <a:noFill/>
            </a:ln>
            <a:effectLst/>
          </c:spPr>
          <c:invertIfNegative val="0"/>
          <c:cat>
            <c:strRef>
              <c:f>kostenberechnung!$D$104:$J$104</c:f>
              <c:strCache>
                <c:ptCount val="7"/>
                <c:pt idx="0">
                  <c:v>See-Energie Verbund</c:v>
                </c:pt>
                <c:pt idx="1">
                  <c:v>Heizöl</c:v>
                </c:pt>
                <c:pt idx="2">
                  <c:v>Erdgas (fossiles)</c:v>
                </c:pt>
                <c:pt idx="3">
                  <c:v>Erdsonden WP</c:v>
                </c:pt>
                <c:pt idx="4">
                  <c:v>Grundwasser WP</c:v>
                </c:pt>
                <c:pt idx="5">
                  <c:v>Luft/Wasser WP</c:v>
                </c:pt>
                <c:pt idx="6">
                  <c:v>Holzpellets</c:v>
                </c:pt>
              </c:strCache>
            </c:strRef>
          </c:cat>
          <c:val>
            <c:numRef>
              <c:f>kostenberechnung!$D$106:$J$106</c:f>
              <c:numCache>
                <c:formatCode>0.00\ "Rp/kWh"</c:formatCode>
                <c:ptCount val="7"/>
                <c:pt idx="0">
                  <c:v>0.92400000000000004</c:v>
                </c:pt>
                <c:pt idx="1">
                  <c:v>1.7464</c:v>
                </c:pt>
                <c:pt idx="2">
                  <c:v>2.0497999999999998</c:v>
                </c:pt>
                <c:pt idx="3">
                  <c:v>16.124082176870751</c:v>
                </c:pt>
                <c:pt idx="4">
                  <c:v>12.049265850340134</c:v>
                </c:pt>
                <c:pt idx="5">
                  <c:v>12.832621142857139</c:v>
                </c:pt>
                <c:pt idx="6">
                  <c:v>7.6482812500000001</c:v>
                </c:pt>
              </c:numCache>
            </c:numRef>
          </c:val>
          <c:extLst>
            <c:ext xmlns:c16="http://schemas.microsoft.com/office/drawing/2014/chart" uri="{C3380CC4-5D6E-409C-BE32-E72D297353CC}">
              <c16:uniqueId val="{00000000-490D-417E-988F-E41E7A6E8B7E}"/>
            </c:ext>
          </c:extLst>
        </c:ser>
        <c:ser>
          <c:idx val="1"/>
          <c:order val="1"/>
          <c:tx>
            <c:strRef>
              <c:f>kostenberechnung!$A$107</c:f>
              <c:strCache>
                <c:ptCount val="1"/>
                <c:pt idx="0">
                  <c:v>Betriebskosten</c:v>
                </c:pt>
              </c:strCache>
            </c:strRef>
          </c:tx>
          <c:spPr>
            <a:solidFill>
              <a:schemeClr val="accent2"/>
            </a:solidFill>
            <a:ln>
              <a:noFill/>
            </a:ln>
            <a:effectLst/>
          </c:spPr>
          <c:invertIfNegative val="0"/>
          <c:cat>
            <c:strRef>
              <c:f>kostenberechnung!$D$104:$J$104</c:f>
              <c:strCache>
                <c:ptCount val="7"/>
                <c:pt idx="0">
                  <c:v>See-Energie Verbund</c:v>
                </c:pt>
                <c:pt idx="1">
                  <c:v>Heizöl</c:v>
                </c:pt>
                <c:pt idx="2">
                  <c:v>Erdgas (fossiles)</c:v>
                </c:pt>
                <c:pt idx="3">
                  <c:v>Erdsonden WP</c:v>
                </c:pt>
                <c:pt idx="4">
                  <c:v>Grundwasser WP</c:v>
                </c:pt>
                <c:pt idx="5">
                  <c:v>Luft/Wasser WP</c:v>
                </c:pt>
                <c:pt idx="6">
                  <c:v>Holzpellets</c:v>
                </c:pt>
              </c:strCache>
            </c:strRef>
          </c:cat>
          <c:val>
            <c:numRef>
              <c:f>kostenberechnung!$D$107:$J$107</c:f>
              <c:numCache>
                <c:formatCode>0.00\ "Rp/kWh"</c:formatCode>
                <c:ptCount val="7"/>
                <c:pt idx="0">
                  <c:v>0</c:v>
                </c:pt>
                <c:pt idx="1">
                  <c:v>1</c:v>
                </c:pt>
                <c:pt idx="2">
                  <c:v>1</c:v>
                </c:pt>
                <c:pt idx="3">
                  <c:v>1.7500000000000002</c:v>
                </c:pt>
                <c:pt idx="4">
                  <c:v>3.75</c:v>
                </c:pt>
                <c:pt idx="5">
                  <c:v>2.2749999999999999</c:v>
                </c:pt>
                <c:pt idx="6">
                  <c:v>2.75</c:v>
                </c:pt>
              </c:numCache>
            </c:numRef>
          </c:val>
          <c:extLst>
            <c:ext xmlns:c16="http://schemas.microsoft.com/office/drawing/2014/chart" uri="{C3380CC4-5D6E-409C-BE32-E72D297353CC}">
              <c16:uniqueId val="{00000001-490D-417E-988F-E41E7A6E8B7E}"/>
            </c:ext>
          </c:extLst>
        </c:ser>
        <c:ser>
          <c:idx val="5"/>
          <c:order val="2"/>
          <c:tx>
            <c:strRef>
              <c:f>kostenberechnung!$A$108</c:f>
              <c:strCache>
                <c:ptCount val="1"/>
                <c:pt idx="0">
                  <c:v>Grundgebühr</c:v>
                </c:pt>
              </c:strCache>
            </c:strRef>
          </c:tx>
          <c:spPr>
            <a:solidFill>
              <a:schemeClr val="accent6">
                <a:lumMod val="60000"/>
                <a:lumOff val="40000"/>
              </a:schemeClr>
            </a:solidFill>
            <a:ln>
              <a:noFill/>
            </a:ln>
            <a:effectLst/>
          </c:spPr>
          <c:invertIfNegative val="0"/>
          <c:val>
            <c:numRef>
              <c:f>kostenberechnung!$D$108:$J$108</c:f>
              <c:numCache>
                <c:formatCode>0.00\ "Rp/kWh"</c:formatCode>
                <c:ptCount val="7"/>
                <c:pt idx="0">
                  <c:v>11</c:v>
                </c:pt>
              </c:numCache>
            </c:numRef>
          </c:val>
          <c:extLst>
            <c:ext xmlns:c16="http://schemas.microsoft.com/office/drawing/2014/chart" uri="{C3380CC4-5D6E-409C-BE32-E72D297353CC}">
              <c16:uniqueId val="{00000001-6FCD-4014-9583-952C17B60012}"/>
            </c:ext>
          </c:extLst>
        </c:ser>
        <c:ser>
          <c:idx val="2"/>
          <c:order val="3"/>
          <c:tx>
            <c:strRef>
              <c:f>kostenberechnung!$A$109</c:f>
              <c:strCache>
                <c:ptCount val="1"/>
                <c:pt idx="0">
                  <c:v>Energiekosten inkl. CO2 Abgaben</c:v>
                </c:pt>
              </c:strCache>
            </c:strRef>
          </c:tx>
          <c:spPr>
            <a:solidFill>
              <a:schemeClr val="accent6">
                <a:lumMod val="40000"/>
                <a:lumOff val="60000"/>
              </a:schemeClr>
            </a:solidFill>
            <a:ln>
              <a:noFill/>
            </a:ln>
            <a:effectLst/>
          </c:spPr>
          <c:invertIfNegative val="0"/>
          <c:dLbls>
            <c:dLbl>
              <c:idx val="0"/>
              <c:tx>
                <c:rich>
                  <a:bodyPr/>
                  <a:lstStyle/>
                  <a:p>
                    <a:fld id="{AB7FA94D-4EA7-4A8C-9099-97024BB7AD35}" type="CELLRANGE">
                      <a:rPr lang="en-US"/>
                      <a:pPr/>
                      <a:t>[ZELLBEREICH]</a:t>
                    </a:fld>
                    <a:endParaRPr lang="de-CH"/>
                  </a:p>
                </c:rich>
              </c:tx>
              <c:dLblPos val="inEnd"/>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90D-417E-988F-E41E7A6E8B7E}"/>
                </c:ext>
              </c:extLst>
            </c:dLbl>
            <c:dLbl>
              <c:idx val="1"/>
              <c:layout>
                <c:manualLayout>
                  <c:x val="0"/>
                  <c:y val="-0.10548486719322034"/>
                </c:manualLayout>
              </c:layout>
              <c:tx>
                <c:rich>
                  <a:bodyPr/>
                  <a:lstStyle/>
                  <a:p>
                    <a:fld id="{554C6721-0B76-4A41-9895-EAB2E872A1A8}" type="CELLRANGE">
                      <a:rPr lang="en-US"/>
                      <a:pPr/>
                      <a:t>[ZELLBEREICH]</a:t>
                    </a:fld>
                    <a:endParaRPr lang="de-CH"/>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90D-417E-988F-E41E7A6E8B7E}"/>
                </c:ext>
              </c:extLst>
            </c:dLbl>
            <c:dLbl>
              <c:idx val="2"/>
              <c:layout>
                <c:manualLayout>
                  <c:x val="-5.6358516841455441E-17"/>
                  <c:y val="-9.9267630605324078E-2"/>
                </c:manualLayout>
              </c:layout>
              <c:tx>
                <c:rich>
                  <a:bodyPr/>
                  <a:lstStyle/>
                  <a:p>
                    <a:fld id="{3BEB4983-0ADA-4C94-A8D9-463EFEEFABAC}" type="CELLRANGE">
                      <a:rPr lang="en-US"/>
                      <a:pPr/>
                      <a:t>[ZELLBEREICH]</a:t>
                    </a:fld>
                    <a:endParaRPr lang="de-CH"/>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90D-417E-988F-E41E7A6E8B7E}"/>
                </c:ext>
              </c:extLst>
            </c:dLbl>
            <c:dLbl>
              <c:idx val="3"/>
              <c:tx>
                <c:rich>
                  <a:bodyPr/>
                  <a:lstStyle/>
                  <a:p>
                    <a:fld id="{2E30DC43-47EC-4248-AD0C-5843C151B46B}" type="CELLRANGE">
                      <a:rPr lang="de-CH"/>
                      <a:pPr/>
                      <a:t>[ZELLBEREICH]</a:t>
                    </a:fld>
                    <a:endParaRPr lang="de-CH"/>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490D-417E-988F-E41E7A6E8B7E}"/>
                </c:ext>
              </c:extLst>
            </c:dLbl>
            <c:dLbl>
              <c:idx val="4"/>
              <c:tx>
                <c:rich>
                  <a:bodyPr/>
                  <a:lstStyle/>
                  <a:p>
                    <a:fld id="{74A4E6D4-A748-4F2B-93F4-9C2AB0BC3917}" type="CELLRANGE">
                      <a:rPr lang="de-CH"/>
                      <a:pPr/>
                      <a:t>[ZELLBEREICH]</a:t>
                    </a:fld>
                    <a:endParaRPr lang="de-CH"/>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490D-417E-988F-E41E7A6E8B7E}"/>
                </c:ext>
              </c:extLst>
            </c:dLbl>
            <c:dLbl>
              <c:idx val="5"/>
              <c:tx>
                <c:rich>
                  <a:bodyPr/>
                  <a:lstStyle/>
                  <a:p>
                    <a:fld id="{E96DF750-007E-4DBB-ACE1-F2F10A905573}" type="CELLRANGE">
                      <a:rPr lang="de-CH"/>
                      <a:pPr/>
                      <a:t>[ZELLBEREICH]</a:t>
                    </a:fld>
                    <a:endParaRPr lang="de-CH"/>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490D-417E-988F-E41E7A6E8B7E}"/>
                </c:ext>
              </c:extLst>
            </c:dLbl>
            <c:dLbl>
              <c:idx val="6"/>
              <c:tx>
                <c:rich>
                  <a:bodyPr/>
                  <a:lstStyle/>
                  <a:p>
                    <a:fld id="{4C63C4CE-8FD5-4271-A23D-2FF460395A52}" type="CELLRANGE">
                      <a:rPr lang="de-CH"/>
                      <a:pPr/>
                      <a:t>[ZELLBEREICH]</a:t>
                    </a:fld>
                    <a:endParaRPr lang="de-CH"/>
                  </a:p>
                </c:rich>
              </c:tx>
              <c:dLblPos val="inEnd"/>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490D-417E-988F-E41E7A6E8B7E}"/>
                </c:ext>
              </c:extLst>
            </c:dLbl>
            <c:spPr>
              <a:noFill/>
              <a:ln>
                <a:noFill/>
              </a:ln>
              <a:effectLst/>
            </c:spPr>
            <c:txPr>
              <a:bodyPr rot="0" spcFirstLastPara="1" vertOverflow="ellipsis" vert="horz" wrap="square" lIns="38100" tIns="19050" rIns="38100" bIns="19050" anchor="ctr" anchorCtr="1">
                <a:spAutoFit/>
              </a:bodyPr>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kostenberechnung!$D$104:$J$104</c:f>
              <c:strCache>
                <c:ptCount val="7"/>
                <c:pt idx="0">
                  <c:v>See-Energie Verbund</c:v>
                </c:pt>
                <c:pt idx="1">
                  <c:v>Heizöl</c:v>
                </c:pt>
                <c:pt idx="2">
                  <c:v>Erdgas (fossiles)</c:v>
                </c:pt>
                <c:pt idx="3">
                  <c:v>Erdsonden WP</c:v>
                </c:pt>
                <c:pt idx="4">
                  <c:v>Grundwasser WP</c:v>
                </c:pt>
                <c:pt idx="5">
                  <c:v>Luft/Wasser WP</c:v>
                </c:pt>
                <c:pt idx="6">
                  <c:v>Holzpellets</c:v>
                </c:pt>
              </c:strCache>
            </c:strRef>
          </c:cat>
          <c:val>
            <c:numRef>
              <c:f>kostenberechnung!$D$109:$J$109</c:f>
              <c:numCache>
                <c:formatCode>0.00\ "Rp/kWh"</c:formatCode>
                <c:ptCount val="7"/>
                <c:pt idx="0">
                  <c:v>10.5</c:v>
                </c:pt>
                <c:pt idx="1">
                  <c:v>16.451093749999998</c:v>
                </c:pt>
                <c:pt idx="2">
                  <c:v>16.24234375</c:v>
                </c:pt>
                <c:pt idx="3">
                  <c:v>6.3099999999999987</c:v>
                </c:pt>
                <c:pt idx="4">
                  <c:v>6.3099999999999987</c:v>
                </c:pt>
                <c:pt idx="5">
                  <c:v>7.6369230769230763</c:v>
                </c:pt>
                <c:pt idx="6">
                  <c:v>11.160714285714288</c:v>
                </c:pt>
              </c:numCache>
            </c:numRef>
          </c:val>
          <c:extLst>
            <c:ext xmlns:c15="http://schemas.microsoft.com/office/drawing/2012/chart" uri="{02D57815-91ED-43cb-92C2-25804820EDAC}">
              <c15:datalabelsRange>
                <c15:f>kostenberechnung!$D$113:$J$113</c15:f>
                <c15:dlblRangeCache>
                  <c:ptCount val="7"/>
                  <c:pt idx="0">
                    <c:v>22.42 Rp/kWh</c:v>
                  </c:pt>
                  <c:pt idx="1">
                    <c:v>19.20 Rp/kWh</c:v>
                  </c:pt>
                  <c:pt idx="2">
                    <c:v>19.29 Rp/kWh</c:v>
                  </c:pt>
                  <c:pt idx="3">
                    <c:v>24.18 Rp/kWh</c:v>
                  </c:pt>
                  <c:pt idx="4">
                    <c:v>22.11 Rp/kWh</c:v>
                  </c:pt>
                  <c:pt idx="5">
                    <c:v>22.74 Rp/kWh</c:v>
                  </c:pt>
                  <c:pt idx="6">
                    <c:v>21.56 Rp/kWh</c:v>
                  </c:pt>
                </c15:dlblRangeCache>
              </c15:datalabelsRange>
            </c:ext>
            <c:ext xmlns:c16="http://schemas.microsoft.com/office/drawing/2014/chart" uri="{C3380CC4-5D6E-409C-BE32-E72D297353CC}">
              <c16:uniqueId val="{00000009-490D-417E-988F-E41E7A6E8B7E}"/>
            </c:ext>
          </c:extLst>
        </c:ser>
        <c:ser>
          <c:idx val="4"/>
          <c:order val="5"/>
          <c:tx>
            <c:strRef>
              <c:f>kostenberechnung!$A$111</c:f>
              <c:strCache>
                <c:ptCount val="1"/>
                <c:pt idx="0">
                  <c:v>Energiepreis Sensitivität</c:v>
                </c:pt>
              </c:strCache>
            </c:strRef>
          </c:tx>
          <c:spPr>
            <a:solidFill>
              <a:schemeClr val="bg2">
                <a:lumMod val="90000"/>
              </a:schemeClr>
            </a:solidFill>
            <a:ln>
              <a:noFill/>
            </a:ln>
            <a:effectLst/>
          </c:spPr>
          <c:invertIfNegative val="0"/>
          <c:val>
            <c:numRef>
              <c:f>kostenberechnung!$D$111:$J$111</c:f>
              <c:numCache>
                <c:formatCode>0.00\ "Rp/kWh"</c:formatCode>
                <c:ptCount val="7"/>
                <c:pt idx="0">
                  <c:v>1.5</c:v>
                </c:pt>
                <c:pt idx="1">
                  <c:v>4</c:v>
                </c:pt>
                <c:pt idx="2">
                  <c:v>4</c:v>
                </c:pt>
                <c:pt idx="3">
                  <c:v>2</c:v>
                </c:pt>
                <c:pt idx="4">
                  <c:v>2</c:v>
                </c:pt>
                <c:pt idx="5">
                  <c:v>2</c:v>
                </c:pt>
                <c:pt idx="6">
                  <c:v>3</c:v>
                </c:pt>
              </c:numCache>
            </c:numRef>
          </c:val>
          <c:extLst>
            <c:ext xmlns:c16="http://schemas.microsoft.com/office/drawing/2014/chart" uri="{C3380CC4-5D6E-409C-BE32-E72D297353CC}">
              <c16:uniqueId val="{00000001-81FC-4EF3-9BB1-4AF9E79BCBBD}"/>
            </c:ext>
          </c:extLst>
        </c:ser>
        <c:dLbls>
          <c:showLegendKey val="0"/>
          <c:showVal val="0"/>
          <c:showCatName val="0"/>
          <c:showSerName val="0"/>
          <c:showPercent val="0"/>
          <c:showBubbleSize val="0"/>
        </c:dLbls>
        <c:gapWidth val="150"/>
        <c:overlap val="100"/>
        <c:axId val="106260352"/>
        <c:axId val="106261888"/>
        <c:extLst>
          <c:ext xmlns:c15="http://schemas.microsoft.com/office/drawing/2012/chart" uri="{02D57815-91ED-43cb-92C2-25804820EDAC}">
            <c15:filteredBarSeries>
              <c15:ser>
                <c:idx val="3"/>
                <c:order val="4"/>
                <c:tx>
                  <c:strRef>
                    <c:extLst>
                      <c:ext uri="{02D57815-91ED-43cb-92C2-25804820EDAC}">
                        <c15:formulaRef>
                          <c15:sqref>kostenberechnung!$A$117</c15:sqref>
                        </c15:formulaRef>
                      </c:ext>
                    </c:extLst>
                    <c:strCache>
                      <c:ptCount val="1"/>
                      <c:pt idx="0">
                        <c:v>Zuk. Zuschlag CO2 Abgaben</c:v>
                      </c:pt>
                    </c:strCache>
                  </c:strRef>
                </c:tx>
                <c:spPr>
                  <a:pattFill prst="ltDnDiag">
                    <a:fgClr>
                      <a:schemeClr val="bg1">
                        <a:lumMod val="50000"/>
                      </a:schemeClr>
                    </a:fgClr>
                    <a:bgClr>
                      <a:schemeClr val="bg1"/>
                    </a:bgClr>
                  </a:pattFill>
                  <a:ln>
                    <a:noFill/>
                  </a:ln>
                  <a:effectLst/>
                </c:spPr>
                <c:invertIfNegative val="0"/>
                <c:val>
                  <c:numRef>
                    <c:extLst>
                      <c:ext uri="{02D57815-91ED-43cb-92C2-25804820EDAC}">
                        <c15:formulaRef>
                          <c15:sqref>kostenberechnung!$D$117:$J$117</c15:sqref>
                        </c15:formulaRef>
                      </c:ext>
                    </c:extLst>
                    <c:numCache>
                      <c:formatCode>0.00\ "Rp/kWh"</c:formatCode>
                      <c:ptCount val="7"/>
                      <c:pt idx="0">
                        <c:v>0</c:v>
                      </c:pt>
                      <c:pt idx="1">
                        <c:v>3.8148437499999992</c:v>
                      </c:pt>
                      <c:pt idx="2">
                        <c:v>2.5798437499999998</c:v>
                      </c:pt>
                    </c:numCache>
                  </c:numRef>
                </c:val>
                <c:extLst>
                  <c:ext xmlns:c16="http://schemas.microsoft.com/office/drawing/2014/chart" uri="{C3380CC4-5D6E-409C-BE32-E72D297353CC}">
                    <c16:uniqueId val="{0000000A-490D-417E-988F-E41E7A6E8B7E}"/>
                  </c:ext>
                </c:extLst>
              </c15:ser>
            </c15:filteredBarSeries>
          </c:ext>
        </c:extLst>
      </c:barChart>
      <c:catAx>
        <c:axId val="106260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6261888"/>
        <c:crosses val="autoZero"/>
        <c:auto val="1"/>
        <c:lblAlgn val="ctr"/>
        <c:lblOffset val="100"/>
        <c:tickLblSkip val="1"/>
        <c:tickMarkSkip val="1"/>
        <c:noMultiLvlLbl val="0"/>
      </c:catAx>
      <c:valAx>
        <c:axId val="106261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r>
                  <a:rPr lang="de-CH"/>
                  <a:t>Rp. / kWh</a:t>
                </a:r>
              </a:p>
            </c:rich>
          </c:tx>
          <c:layout>
            <c:manualLayout>
              <c:xMode val="edge"/>
              <c:yMode val="edge"/>
              <c:x val="1.5733973081272768E-2"/>
              <c:y val="0.37073638615794052"/>
            </c:manualLayout>
          </c:layout>
          <c:overlay val="0"/>
          <c:spPr>
            <a:noFill/>
            <a:ln>
              <a:noFill/>
            </a:ln>
            <a:effectLst/>
          </c:spPr>
          <c:txPr>
            <a:bodyPr rot="-5400000" spcFirstLastPara="1" vertOverflow="ellipsis" vert="horz"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title>
        <c:numFmt formatCode="#,##0.0;[Red]#,##0.0" sourceLinked="0"/>
        <c:majorTickMark val="none"/>
        <c:minorTickMark val="none"/>
        <c:tickLblPos val="nextTo"/>
        <c:spPr>
          <a:noFill/>
          <a:ln>
            <a:noFill/>
          </a:ln>
          <a:effectLst/>
        </c:spPr>
        <c:txPr>
          <a:bodyPr rot="0" spcFirstLastPara="1" vertOverflow="ellipsis"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06260352"/>
        <c:crosses val="autoZero"/>
        <c:crossBetween val="between"/>
      </c:valAx>
      <c:spPr>
        <a:noFill/>
        <a:ln>
          <a:noFill/>
        </a:ln>
        <a:effectLst/>
      </c:spPr>
    </c:plotArea>
    <c:legend>
      <c:legendPos val="t"/>
      <c:layout>
        <c:manualLayout>
          <c:xMode val="edge"/>
          <c:yMode val="edge"/>
          <c:x val="0.10136283198490005"/>
          <c:y val="0.93619665476369263"/>
          <c:w val="0.89863716801509996"/>
          <c:h val="4.7858828988663005E-2"/>
        </c:manualLayout>
      </c:layout>
      <c:overlay val="0"/>
      <c:spPr>
        <a:noFill/>
        <a:ln>
          <a:noFill/>
        </a:ln>
        <a:effectLst/>
      </c:spPr>
      <c:txPr>
        <a:bodyPr rot="0" spcFirstLastPara="1" vertOverflow="ellipsis" vert="horz" wrap="square" anchor="ctr" anchorCtr="1"/>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9525" cap="flat" cmpd="sng" algn="ctr">
      <a:solidFill>
        <a:schemeClr val="tx1"/>
      </a:solidFill>
      <a:round/>
    </a:ln>
    <a:effectLst/>
  </c:spPr>
  <c:txPr>
    <a:bodyPr/>
    <a:lstStyle/>
    <a:p>
      <a:pPr>
        <a:defRPr lang="de-CH" sz="900" b="0"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printSettings>
    <c:headerFooter alignWithMargins="0">
      <c:oddFooter>&amp;L&amp;8www.energieverbund-einsiedeln.ch</c:oddFooter>
    </c:headerFooter>
    <c:pageMargins b="0.984251969" l="0.78740157499999996" r="0.78740157499999996" t="0.984251969" header="0.4921259845" footer="0.4921259845"/>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2.jpeg"/><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16</xdr:col>
      <xdr:colOff>122463</xdr:colOff>
      <xdr:row>30</xdr:row>
      <xdr:rowOff>167287</xdr:rowOff>
    </xdr:from>
    <xdr:ext cx="9495213" cy="2525691"/>
    <xdr:sp macro="" textlink="">
      <xdr:nvSpPr>
        <xdr:cNvPr id="7" name="Textfeld 6">
          <a:extLst>
            <a:ext uri="{FF2B5EF4-FFF2-40B4-BE49-F238E27FC236}">
              <a16:creationId xmlns:a16="http://schemas.microsoft.com/office/drawing/2014/main" id="{556354EC-7DEB-426B-ABF1-36F8AD78E47A}"/>
            </a:ext>
          </a:extLst>
        </xdr:cNvPr>
        <xdr:cNvSpPr txBox="1"/>
      </xdr:nvSpPr>
      <xdr:spPr>
        <a:xfrm>
          <a:off x="13179436" y="7601936"/>
          <a:ext cx="9495213" cy="25256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CH" sz="1100">
              <a:latin typeface="Arial" panose="020B0604020202020204" pitchFamily="34" charset="0"/>
              <a:cs typeface="Arial" panose="020B0604020202020204" pitchFamily="34" charset="0"/>
            </a:rPr>
            <a:t>Dieses</a:t>
          </a:r>
          <a:r>
            <a:rPr lang="de-CH" sz="1100" baseline="0">
              <a:latin typeface="Arial" panose="020B0604020202020204" pitchFamily="34" charset="0"/>
              <a:cs typeface="Arial" panose="020B0604020202020204" pitchFamily="34" charset="0"/>
            </a:rPr>
            <a:t> Tool berechnet die Kosten und die CO</a:t>
          </a:r>
          <a:r>
            <a:rPr lang="de-CH" sz="1100" baseline="-25000">
              <a:latin typeface="Arial" panose="020B0604020202020204" pitchFamily="34" charset="0"/>
              <a:cs typeface="Arial" panose="020B0604020202020204" pitchFamily="34" charset="0"/>
            </a:rPr>
            <a:t>2</a:t>
          </a:r>
          <a:r>
            <a:rPr lang="de-CH" sz="1100" baseline="0">
              <a:latin typeface="Arial" panose="020B0604020202020204" pitchFamily="34" charset="0"/>
              <a:cs typeface="Arial" panose="020B0604020202020204" pitchFamily="34" charset="0"/>
            </a:rPr>
            <a:t>-Emissionen verschiedener Wärmeerzeugungstechnologien. Die Berechnungen basieren auf Standardwerten und Annahmen. Diese sind u.a. vom volatilen Energiemarkt abhängig. Darüberhinaus sind die für die Berechnungen notwendigen Parameter von Anlage zu Anlage verschieden und können sich gar während der Lebenszeit der Anlage verändern. Dies führt dazu, dass die Resultate dieses Tools als Richtwert verwendet werden können, </a:t>
          </a:r>
          <a:r>
            <a:rPr lang="de-CH" sz="1100" baseline="0">
              <a:solidFill>
                <a:schemeClr val="tx1"/>
              </a:solidFill>
              <a:effectLst/>
              <a:latin typeface="Arial" panose="020B0604020202020204" pitchFamily="34" charset="0"/>
              <a:ea typeface="+mn-ea"/>
              <a:cs typeface="Arial" panose="020B0604020202020204" pitchFamily="34" charset="0"/>
            </a:rPr>
            <a:t>jedoch Ungenauigkeiten enthalten. Es kann nicht garantiert werden, dass das Tool die tatsächliche Leistung und Kosten einer gebauten Anlage abbildet.</a:t>
          </a:r>
        </a:p>
        <a:p>
          <a:endParaRPr lang="de-CH" sz="1100" baseline="0">
            <a:solidFill>
              <a:schemeClr val="tx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Arial" panose="020B0604020202020204" pitchFamily="34" charset="0"/>
              <a:ea typeface="+mn-ea"/>
              <a:cs typeface="Arial" panose="020B0604020202020204" pitchFamily="34" charset="0"/>
            </a:rPr>
            <a:t>Die Preisannahmen für Wärmepumpen basieren auf aktuellen 20 Richtofferten in einem Leistungssprektrum von 8 - 213 kW. </a:t>
          </a:r>
          <a:endParaRPr lang="de-CH">
            <a:effectLst/>
            <a:latin typeface="Arial" panose="020B0604020202020204" pitchFamily="34" charset="0"/>
            <a:cs typeface="Arial" panose="020B0604020202020204" pitchFamily="34" charset="0"/>
          </a:endParaRPr>
        </a:p>
        <a:p>
          <a:endParaRPr lang="de-CH" sz="1100" baseline="0">
            <a:solidFill>
              <a:schemeClr val="tx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Arial" panose="020B0604020202020204" pitchFamily="34" charset="0"/>
              <a:ea typeface="+mn-ea"/>
              <a:cs typeface="Arial" panose="020B0604020202020204" pitchFamily="34" charset="0"/>
            </a:rPr>
            <a:t>Die Kapitalkosten basieren auf einem Durchschnittswert für eine Hypothek von 15 Jahren gemäss Vergleichsportal Comparis (https://www.comparis.ch/hypotheken/zinssatz). Aktuell 2.4% als Mittelwert</a:t>
          </a:r>
          <a:r>
            <a:rPr lang="en-US" sz="1100" b="0" i="0" baseline="0">
              <a:solidFill>
                <a:schemeClr val="tx1"/>
              </a:solidFill>
              <a:effectLst/>
              <a:latin typeface="Arial" panose="020B0604020202020204" pitchFamily="34" charset="0"/>
              <a:ea typeface="+mn-ea"/>
              <a:cs typeface="Arial" panose="020B0604020202020204" pitchFamily="34" charset="0"/>
            </a:rPr>
            <a:t> in einer Bandbreite zwischen </a:t>
          </a:r>
          <a:r>
            <a:rPr lang="en-US" sz="1100" b="0" i="0">
              <a:solidFill>
                <a:schemeClr val="tx1"/>
              </a:solidFill>
              <a:effectLst/>
              <a:latin typeface="Arial" panose="020B0604020202020204" pitchFamily="34" charset="0"/>
              <a:ea typeface="+mn-ea"/>
              <a:cs typeface="Arial" panose="020B0604020202020204" pitchFamily="34" charset="0"/>
            </a:rPr>
            <a:t>2.03% und 2.78%.</a:t>
          </a:r>
        </a:p>
        <a:p>
          <a:pPr marL="0" marR="0" lvl="0" indent="0" defTabSz="914400" eaLnBrk="1" fontAlgn="auto" latinLnBrk="0" hangingPunct="1">
            <a:lnSpc>
              <a:spcPct val="100000"/>
            </a:lnSpc>
            <a:spcBef>
              <a:spcPts val="0"/>
            </a:spcBef>
            <a:spcAft>
              <a:spcPts val="0"/>
            </a:spcAft>
            <a:buClrTx/>
            <a:buSzTx/>
            <a:buFontTx/>
            <a:buNone/>
            <a:tabLst/>
            <a:defRPr/>
          </a:pPr>
          <a:endParaRPr lang="de-CH">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a:solidFill>
                <a:schemeClr val="tx1"/>
              </a:solidFill>
              <a:effectLst/>
              <a:latin typeface="Arial" panose="020B0604020202020204" pitchFamily="34" charset="0"/>
              <a:ea typeface="+mn-ea"/>
              <a:cs typeface="Arial" panose="020B0604020202020204" pitchFamily="34" charset="0"/>
            </a:rPr>
            <a:t>Für</a:t>
          </a:r>
          <a:r>
            <a:rPr lang="en-US" sz="1100" b="0" i="0" baseline="0">
              <a:solidFill>
                <a:schemeClr val="tx1"/>
              </a:solidFill>
              <a:effectLst/>
              <a:latin typeface="Arial" panose="020B0604020202020204" pitchFamily="34" charset="0"/>
              <a:ea typeface="+mn-ea"/>
              <a:cs typeface="Arial" panose="020B0604020202020204" pitchFamily="34" charset="0"/>
            </a:rPr>
            <a:t> die </a:t>
          </a:r>
          <a:r>
            <a:rPr lang="en-US" sz="1100" b="0" i="0">
              <a:solidFill>
                <a:schemeClr val="tx1"/>
              </a:solidFill>
              <a:effectLst/>
              <a:latin typeface="Arial" panose="020B0604020202020204" pitchFamily="34" charset="0"/>
              <a:ea typeface="+mn-ea"/>
              <a:cs typeface="Arial" panose="020B0604020202020204" pitchFamily="34" charset="0"/>
            </a:rPr>
            <a:t>Energiepreis</a:t>
          </a:r>
          <a:r>
            <a:rPr lang="en-US" sz="1100" b="0" i="0" baseline="0">
              <a:solidFill>
                <a:schemeClr val="tx1"/>
              </a:solidFill>
              <a:effectLst/>
              <a:latin typeface="Arial" panose="020B0604020202020204" pitchFamily="34" charset="0"/>
              <a:ea typeface="+mn-ea"/>
              <a:cs typeface="Arial" panose="020B0604020202020204" pitchFamily="34" charset="0"/>
            </a:rPr>
            <a:t> </a:t>
          </a:r>
          <a:r>
            <a:rPr lang="en-US" sz="1100" b="0" i="0">
              <a:solidFill>
                <a:schemeClr val="tx1"/>
              </a:solidFill>
              <a:effectLst/>
              <a:latin typeface="Arial" panose="020B0604020202020204" pitchFamily="34" charset="0"/>
              <a:ea typeface="+mn-ea"/>
              <a:cs typeface="Arial" panose="020B0604020202020204" pitchFamily="34" charset="0"/>
            </a:rPr>
            <a:t>Sensitivität gilt für Öl / Gas eine 100% abhängig vom Weltmarktpreis, für Holzpellets gemäss den Preisschwankungen der Schweiz.</a:t>
          </a:r>
          <a:r>
            <a:rPr lang="en-US" sz="1100" b="0" i="0" baseline="0">
              <a:solidFill>
                <a:schemeClr val="tx1"/>
              </a:solidFill>
              <a:effectLst/>
              <a:latin typeface="Arial" panose="020B0604020202020204" pitchFamily="34" charset="0"/>
              <a:ea typeface="+mn-ea"/>
              <a:cs typeface="Arial" panose="020B0604020202020204" pitchFamily="34" charset="0"/>
            </a:rPr>
            <a:t> Die i</a:t>
          </a:r>
          <a:r>
            <a:rPr lang="en-US" sz="1100" b="0" i="0">
              <a:solidFill>
                <a:schemeClr val="tx1"/>
              </a:solidFill>
              <a:effectLst/>
              <a:latin typeface="Arial" panose="020B0604020202020204" pitchFamily="34" charset="0"/>
              <a:ea typeface="+mn-ea"/>
              <a:cs typeface="Arial" panose="020B0604020202020204" pitchFamily="34" charset="0"/>
            </a:rPr>
            <a:t>ndividuelle Kunden sind für den Strompreise für ihre WP stärker den Veränderungen ausgesetzt als EWN im Wärmeverbund,</a:t>
          </a:r>
          <a:r>
            <a:rPr lang="en-US" sz="1100" b="0" i="0" baseline="0">
              <a:solidFill>
                <a:schemeClr val="tx1"/>
              </a:solidFill>
              <a:effectLst/>
              <a:latin typeface="Arial" panose="020B0604020202020204" pitchFamily="34" charset="0"/>
              <a:ea typeface="+mn-ea"/>
              <a:cs typeface="Arial" panose="020B0604020202020204" pitchFamily="34" charset="0"/>
            </a:rPr>
            <a:t> da EWN verschiedene Strombeschaffungsmöglichkeiten hat. </a:t>
          </a:r>
          <a:endParaRPr lang="de-CH">
            <a:effectLst/>
            <a:latin typeface="Arial" panose="020B0604020202020204" pitchFamily="34" charset="0"/>
            <a:cs typeface="Arial" panose="020B0604020202020204" pitchFamily="34" charset="0"/>
          </a:endParaRPr>
        </a:p>
        <a:p>
          <a:endParaRPr lang="de-CH" sz="1100">
            <a:latin typeface="Arial" panose="020B0604020202020204" pitchFamily="34" charset="0"/>
            <a:cs typeface="Arial" panose="020B0604020202020204" pitchFamily="34" charset="0"/>
          </a:endParaRPr>
        </a:p>
      </xdr:txBody>
    </xdr:sp>
    <xdr:clientData/>
  </xdr:oneCellAnchor>
  <xdr:twoCellAnchor editAs="oneCell">
    <xdr:from>
      <xdr:col>20</xdr:col>
      <xdr:colOff>171290</xdr:colOff>
      <xdr:row>0</xdr:row>
      <xdr:rowOff>0</xdr:rowOff>
    </xdr:from>
    <xdr:to>
      <xdr:col>25</xdr:col>
      <xdr:colOff>429026</xdr:colOff>
      <xdr:row>5</xdr:row>
      <xdr:rowOff>70051</xdr:rowOff>
    </xdr:to>
    <xdr:pic>
      <xdr:nvPicPr>
        <xdr:cNvPr id="6" name="Grafik 5" descr="Ein Bild, das Schrift, Grafiken, Logo, rot enthält.&#10;&#10;Automatisch generierte Beschreibung">
          <a:extLst>
            <a:ext uri="{FF2B5EF4-FFF2-40B4-BE49-F238E27FC236}">
              <a16:creationId xmlns:a16="http://schemas.microsoft.com/office/drawing/2014/main" id="{BE470F8D-ABD5-4635-B8EC-4B9E8AE5A9EC}"/>
            </a:ext>
          </a:extLst>
        </xdr:cNvPr>
        <xdr:cNvPicPr>
          <a:picLocks noChangeAspect="1"/>
        </xdr:cNvPicPr>
      </xdr:nvPicPr>
      <xdr:blipFill>
        <a:blip xmlns:r="http://schemas.openxmlformats.org/officeDocument/2006/relationships" r:embed="rId1"/>
        <a:stretch>
          <a:fillRect/>
        </a:stretch>
      </xdr:blipFill>
      <xdr:spPr>
        <a:xfrm>
          <a:off x="16341378" y="0"/>
          <a:ext cx="4067736" cy="2087110"/>
        </a:xfrm>
        <a:prstGeom prst="rect">
          <a:avLst/>
        </a:prstGeom>
      </xdr:spPr>
    </xdr:pic>
    <xdr:clientData/>
  </xdr:twoCellAnchor>
  <xdr:twoCellAnchor>
    <xdr:from>
      <xdr:col>4</xdr:col>
      <xdr:colOff>114300</xdr:colOff>
      <xdr:row>8</xdr:row>
      <xdr:rowOff>0</xdr:rowOff>
    </xdr:from>
    <xdr:to>
      <xdr:col>15</xdr:col>
      <xdr:colOff>661368</xdr:colOff>
      <xdr:row>29</xdr:row>
      <xdr:rowOff>16329</xdr:rowOff>
    </xdr:to>
    <xdr:graphicFrame macro="">
      <xdr:nvGraphicFramePr>
        <xdr:cNvPr id="8" name="Diagramm 1">
          <a:extLst>
            <a:ext uri="{FF2B5EF4-FFF2-40B4-BE49-F238E27FC236}">
              <a16:creationId xmlns:a16="http://schemas.microsoft.com/office/drawing/2014/main" id="{B1785798-B1EB-4557-A0D1-A3B5EA5194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638734</xdr:colOff>
      <xdr:row>8</xdr:row>
      <xdr:rowOff>0</xdr:rowOff>
    </xdr:from>
    <xdr:to>
      <xdr:col>28</xdr:col>
      <xdr:colOff>282947</xdr:colOff>
      <xdr:row>29</xdr:row>
      <xdr:rowOff>22412</xdr:rowOff>
    </xdr:to>
    <xdr:graphicFrame macro="">
      <xdr:nvGraphicFramePr>
        <xdr:cNvPr id="9" name="Diagramm 8">
          <a:extLst>
            <a:ext uri="{FF2B5EF4-FFF2-40B4-BE49-F238E27FC236}">
              <a16:creationId xmlns:a16="http://schemas.microsoft.com/office/drawing/2014/main" id="{880E3CB5-B32B-4E06-8EFC-878B12F018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110289</xdr:colOff>
      <xdr:row>29</xdr:row>
      <xdr:rowOff>16328</xdr:rowOff>
    </xdr:from>
    <xdr:to>
      <xdr:col>15</xdr:col>
      <xdr:colOff>636815</xdr:colOff>
      <xdr:row>51</xdr:row>
      <xdr:rowOff>57755</xdr:rowOff>
    </xdr:to>
    <xdr:graphicFrame macro="">
      <xdr:nvGraphicFramePr>
        <xdr:cNvPr id="10" name="Diagramm 1">
          <a:extLst>
            <a:ext uri="{FF2B5EF4-FFF2-40B4-BE49-F238E27FC236}">
              <a16:creationId xmlns:a16="http://schemas.microsoft.com/office/drawing/2014/main" id="{20060A9F-DC0E-4CD2-9302-81E5C7DA3B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25</xdr:col>
      <xdr:colOff>593913</xdr:colOff>
      <xdr:row>0</xdr:row>
      <xdr:rowOff>403412</xdr:rowOff>
    </xdr:from>
    <xdr:to>
      <xdr:col>28</xdr:col>
      <xdr:colOff>212913</xdr:colOff>
      <xdr:row>5</xdr:row>
      <xdr:rowOff>294714</xdr:rowOff>
    </xdr:to>
    <xdr:pic>
      <xdr:nvPicPr>
        <xdr:cNvPr id="11" name="Grafik 10" descr="Anex Ingenieure AG | LinkedIn">
          <a:extLst>
            <a:ext uri="{FF2B5EF4-FFF2-40B4-BE49-F238E27FC236}">
              <a16:creationId xmlns:a16="http://schemas.microsoft.com/office/drawing/2014/main" id="{B89D10AB-6D7B-4CCB-9FCF-31BA9428215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574001" y="403412"/>
          <a:ext cx="1905000" cy="19083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0.00117</cdr:x>
      <cdr:y>0.94419</cdr:y>
    </cdr:from>
    <cdr:to>
      <cdr:x>0.52449</cdr:x>
      <cdr:y>1</cdr:y>
    </cdr:to>
    <cdr:sp macro="" textlink="">
      <cdr:nvSpPr>
        <cdr:cNvPr id="2" name="Textfeld 1">
          <a:extLst xmlns:a="http://schemas.openxmlformats.org/drawingml/2006/main">
            <a:ext uri="{FF2B5EF4-FFF2-40B4-BE49-F238E27FC236}">
              <a16:creationId xmlns:a16="http://schemas.microsoft.com/office/drawing/2014/main" id="{847B6742-9B59-433D-BF3F-C49D2548FC3E}"/>
            </a:ext>
          </a:extLst>
        </cdr:cNvPr>
        <cdr:cNvSpPr txBox="1"/>
      </cdr:nvSpPr>
      <cdr:spPr>
        <a:xfrm xmlns:a="http://schemas.openxmlformats.org/drawingml/2006/main">
          <a:off x="11206" y="4549588"/>
          <a:ext cx="4997825" cy="2689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CH" sz="1000"/>
            <a:t>Quelle</a:t>
          </a:r>
          <a:r>
            <a:rPr lang="de-CH" sz="1000" baseline="0"/>
            <a:t> Treibausgasemissionen nach Energieträger : SIA 380</a:t>
          </a:r>
          <a:endParaRPr lang="de-CH" sz="1000"/>
        </a:p>
      </cdr:txBody>
    </cdr:sp>
  </cdr:relSizeAnchor>
</c:userShapes>
</file>

<file path=xl/drawings/drawing3.xml><?xml version="1.0" encoding="utf-8"?>
<xdr:wsDr xmlns:xdr="http://schemas.openxmlformats.org/drawingml/2006/spreadsheetDrawing" xmlns:a="http://schemas.openxmlformats.org/drawingml/2006/main">
  <xdr:oneCellAnchor>
    <xdr:from>
      <xdr:col>5</xdr:col>
      <xdr:colOff>637761</xdr:colOff>
      <xdr:row>78</xdr:row>
      <xdr:rowOff>115956</xdr:rowOff>
    </xdr:from>
    <xdr:ext cx="65" cy="172227"/>
    <xdr:sp macro="" textlink="">
      <xdr:nvSpPr>
        <xdr:cNvPr id="5" name="Textfeld 4">
          <a:extLst>
            <a:ext uri="{FF2B5EF4-FFF2-40B4-BE49-F238E27FC236}">
              <a16:creationId xmlns:a16="http://schemas.microsoft.com/office/drawing/2014/main" id="{72D7A06E-A538-4DEB-910A-EDFAA5A7B081}"/>
            </a:ext>
          </a:extLst>
        </xdr:cNvPr>
        <xdr:cNvSpPr txBox="1"/>
      </xdr:nvSpPr>
      <xdr:spPr>
        <a:xfrm>
          <a:off x="5933661" y="1262228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CH" sz="1100"/>
        </a:p>
      </xdr:txBody>
    </xdr:sp>
    <xdr:clientData/>
  </xdr:oneCellAnchor>
  <xdr:oneCellAnchor>
    <xdr:from>
      <xdr:col>5</xdr:col>
      <xdr:colOff>409575</xdr:colOff>
      <xdr:row>84</xdr:row>
      <xdr:rowOff>133350</xdr:rowOff>
    </xdr:from>
    <xdr:ext cx="65" cy="172227"/>
    <xdr:sp macro="" textlink="">
      <xdr:nvSpPr>
        <xdr:cNvPr id="6" name="Textfeld 5">
          <a:extLst>
            <a:ext uri="{FF2B5EF4-FFF2-40B4-BE49-F238E27FC236}">
              <a16:creationId xmlns:a16="http://schemas.microsoft.com/office/drawing/2014/main" id="{6E3670EA-5150-4205-A6F7-0C3904AAE70B}"/>
            </a:ext>
          </a:extLst>
        </xdr:cNvPr>
        <xdr:cNvSpPr txBox="1"/>
      </xdr:nvSpPr>
      <xdr:spPr>
        <a:xfrm>
          <a:off x="5705475" y="13792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de-CH" sz="1100"/>
        </a:p>
      </xdr:txBody>
    </xdr:sp>
    <xdr:clientData/>
  </xdr:oneCellAnchor>
  <xdr:twoCellAnchor editAs="oneCell">
    <xdr:from>
      <xdr:col>12</xdr:col>
      <xdr:colOff>566153</xdr:colOff>
      <xdr:row>4</xdr:row>
      <xdr:rowOff>61435</xdr:rowOff>
    </xdr:from>
    <xdr:to>
      <xdr:col>25</xdr:col>
      <xdr:colOff>123260</xdr:colOff>
      <xdr:row>26</xdr:row>
      <xdr:rowOff>106360</xdr:rowOff>
    </xdr:to>
    <xdr:pic>
      <xdr:nvPicPr>
        <xdr:cNvPr id="4" name="Grafik 3">
          <a:extLst>
            <a:ext uri="{FF2B5EF4-FFF2-40B4-BE49-F238E27FC236}">
              <a16:creationId xmlns:a16="http://schemas.microsoft.com/office/drawing/2014/main" id="{26B37701-FB12-4267-B928-A6C1D8031E29}"/>
            </a:ext>
          </a:extLst>
        </xdr:cNvPr>
        <xdr:cNvPicPr>
          <a:picLocks noChangeAspect="1"/>
        </xdr:cNvPicPr>
      </xdr:nvPicPr>
      <xdr:blipFill>
        <a:blip xmlns:r="http://schemas.openxmlformats.org/officeDocument/2006/relationships" r:embed="rId1"/>
        <a:stretch>
          <a:fillRect/>
        </a:stretch>
      </xdr:blipFill>
      <xdr:spPr>
        <a:xfrm>
          <a:off x="16682015" y="915401"/>
          <a:ext cx="9520038" cy="3143287"/>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E475-CC3A-4206-9967-A10F836A2F5E}">
  <sheetPr>
    <pageSetUpPr fitToPage="1"/>
  </sheetPr>
  <dimension ref="A1:AC62"/>
  <sheetViews>
    <sheetView tabSelected="1" zoomScale="70" zoomScaleNormal="70" workbookViewId="0">
      <selection activeCell="B17" sqref="B17"/>
    </sheetView>
  </sheetViews>
  <sheetFormatPr baseColWidth="10" defaultColWidth="11.42578125" defaultRowHeight="15" x14ac:dyDescent="0.25"/>
  <cols>
    <col min="1" max="1" width="1.85546875" customWidth="1"/>
    <col min="2" max="2" width="27.85546875" bestFit="1" customWidth="1"/>
    <col min="3" max="3" width="23.28515625" customWidth="1"/>
    <col min="4" max="4" width="11.140625" customWidth="1"/>
    <col min="5" max="5" width="1.7109375" customWidth="1"/>
  </cols>
  <sheetData>
    <row r="1" spans="1:29" ht="49.5" customHeight="1" x14ac:dyDescent="0.6">
      <c r="A1" s="80"/>
      <c r="B1" s="237" t="s">
        <v>117</v>
      </c>
      <c r="C1" s="237"/>
      <c r="D1" s="237"/>
      <c r="E1" s="237"/>
      <c r="F1" s="237"/>
      <c r="G1" s="237"/>
      <c r="H1" s="237"/>
      <c r="I1" s="237"/>
      <c r="J1" s="237"/>
      <c r="K1" s="237"/>
      <c r="L1" s="237"/>
      <c r="M1" s="237"/>
      <c r="N1" s="237"/>
      <c r="O1" s="237"/>
      <c r="P1" s="237"/>
      <c r="Q1" s="237"/>
      <c r="R1" s="237"/>
      <c r="S1" s="237"/>
      <c r="T1" s="237"/>
      <c r="U1" s="237"/>
      <c r="V1" s="237"/>
      <c r="W1" s="237"/>
      <c r="X1" s="237"/>
      <c r="Y1" s="80"/>
      <c r="Z1" s="80"/>
      <c r="AA1" s="80"/>
      <c r="AB1" s="80"/>
      <c r="AC1" s="80"/>
    </row>
    <row r="2" spans="1:29" ht="19.5" customHeight="1" x14ac:dyDescent="0.3">
      <c r="A2" s="80"/>
      <c r="B2" s="80"/>
      <c r="C2" s="166"/>
      <c r="D2" s="166"/>
      <c r="E2" s="166"/>
      <c r="F2" s="166"/>
      <c r="G2" s="166"/>
      <c r="H2" s="166"/>
      <c r="I2" s="166"/>
      <c r="J2" s="166"/>
      <c r="K2" s="166"/>
      <c r="L2" s="166"/>
      <c r="M2" s="166"/>
      <c r="N2" s="166"/>
      <c r="O2" s="166"/>
      <c r="P2" s="166"/>
      <c r="Q2" s="166"/>
      <c r="R2" s="166"/>
      <c r="S2" s="166"/>
      <c r="T2" s="166"/>
      <c r="U2" s="166"/>
      <c r="V2" s="166"/>
      <c r="W2" s="166"/>
      <c r="X2" s="166"/>
      <c r="Y2" s="80"/>
      <c r="Z2" s="80"/>
      <c r="AA2" s="80"/>
      <c r="AB2" s="80"/>
      <c r="AC2" s="80"/>
    </row>
    <row r="3" spans="1:29" ht="30" customHeight="1" x14ac:dyDescent="0.3">
      <c r="A3" s="80"/>
      <c r="B3" s="167" t="s">
        <v>0</v>
      </c>
      <c r="C3" s="166"/>
      <c r="D3" s="166"/>
      <c r="E3" s="166"/>
      <c r="F3" s="166"/>
      <c r="G3" s="166"/>
      <c r="H3" s="166"/>
      <c r="I3" s="166"/>
      <c r="J3" s="166"/>
      <c r="K3" s="166"/>
      <c r="L3" s="166"/>
      <c r="M3" s="166"/>
      <c r="N3" s="166"/>
      <c r="O3" s="166"/>
      <c r="P3" s="166"/>
      <c r="Q3" s="166"/>
      <c r="R3" s="166"/>
      <c r="S3" s="166"/>
      <c r="T3" s="166"/>
      <c r="U3" s="166"/>
      <c r="V3" s="166"/>
      <c r="W3" s="166"/>
      <c r="X3" s="166"/>
      <c r="Y3" s="80"/>
      <c r="Z3" s="80"/>
      <c r="AA3" s="80"/>
      <c r="AB3" s="80"/>
      <c r="AC3" s="80"/>
    </row>
    <row r="4" spans="1:29" ht="30" customHeight="1" x14ac:dyDescent="0.3">
      <c r="A4" s="80"/>
      <c r="B4" s="167" t="s">
        <v>1</v>
      </c>
      <c r="C4" s="166"/>
      <c r="D4" s="166"/>
      <c r="E4" s="166"/>
      <c r="F4" s="166"/>
      <c r="G4" s="166"/>
      <c r="H4" s="166"/>
      <c r="I4" s="166"/>
      <c r="J4" s="166"/>
      <c r="K4" s="166"/>
      <c r="L4" s="166"/>
      <c r="M4" s="166"/>
      <c r="N4" s="166"/>
      <c r="O4" s="166"/>
      <c r="P4" s="166"/>
      <c r="Q4" s="166"/>
      <c r="R4" s="166"/>
      <c r="S4" s="166"/>
      <c r="T4" s="166"/>
      <c r="U4" s="166"/>
      <c r="V4" s="166"/>
      <c r="W4" s="166"/>
      <c r="X4" s="166"/>
      <c r="Y4" s="80"/>
      <c r="Z4" s="80"/>
      <c r="AA4" s="80"/>
      <c r="AB4" s="80"/>
      <c r="AC4" s="80"/>
    </row>
    <row r="5" spans="1:29" ht="30" customHeight="1" x14ac:dyDescent="0.3">
      <c r="A5" s="80"/>
      <c r="B5" s="167" t="s">
        <v>2</v>
      </c>
      <c r="C5" s="166"/>
      <c r="D5" s="166"/>
      <c r="E5" s="166"/>
      <c r="F5" s="166"/>
      <c r="G5" s="166"/>
      <c r="H5" s="166"/>
      <c r="I5" s="166"/>
      <c r="J5" s="166"/>
      <c r="K5" s="166"/>
      <c r="L5" s="166"/>
      <c r="M5" s="166"/>
      <c r="N5" s="166"/>
      <c r="O5" s="166"/>
      <c r="P5" s="166"/>
      <c r="Q5" s="166"/>
      <c r="R5" s="166"/>
      <c r="S5" s="166"/>
      <c r="T5" s="166"/>
      <c r="U5" s="166"/>
      <c r="V5" s="166"/>
      <c r="W5" s="166"/>
      <c r="X5" s="166"/>
      <c r="Y5" s="80"/>
      <c r="Z5" s="80"/>
      <c r="AA5" s="80"/>
      <c r="AB5" s="80"/>
      <c r="AC5" s="80"/>
    </row>
    <row r="6" spans="1:29" ht="30" customHeight="1" x14ac:dyDescent="0.3">
      <c r="A6" s="80"/>
      <c r="B6" s="167" t="s">
        <v>3</v>
      </c>
      <c r="C6" s="166"/>
      <c r="D6" s="166"/>
      <c r="E6" s="166"/>
      <c r="F6" s="166"/>
      <c r="G6" s="166"/>
      <c r="H6" s="166"/>
      <c r="I6" s="166"/>
      <c r="J6" s="166"/>
      <c r="K6" s="166"/>
      <c r="L6" s="166"/>
      <c r="M6" s="166"/>
      <c r="N6" s="166"/>
      <c r="O6" s="166"/>
      <c r="P6" s="166"/>
      <c r="Q6" s="166"/>
      <c r="R6" s="166"/>
      <c r="S6" s="166"/>
      <c r="T6" s="166"/>
      <c r="U6" s="166"/>
      <c r="V6" s="166"/>
      <c r="W6" s="166"/>
      <c r="X6" s="166"/>
      <c r="Y6" s="80"/>
      <c r="Z6" s="80"/>
      <c r="AA6" s="80"/>
      <c r="AB6" s="80"/>
      <c r="AC6" s="80"/>
    </row>
    <row r="7" spans="1:29" ht="30" customHeight="1" x14ac:dyDescent="0.3">
      <c r="A7" s="80"/>
      <c r="B7" s="166"/>
      <c r="C7" s="166"/>
      <c r="D7" s="166"/>
      <c r="E7" s="166"/>
      <c r="F7" s="166"/>
      <c r="G7" s="166"/>
      <c r="H7" s="166"/>
      <c r="I7" s="166"/>
      <c r="J7" s="166"/>
      <c r="K7" s="166"/>
      <c r="L7" s="166"/>
      <c r="M7" s="166"/>
      <c r="N7" s="166"/>
      <c r="O7" s="166"/>
      <c r="P7" s="166"/>
      <c r="Q7" s="166"/>
      <c r="R7" s="166"/>
      <c r="S7" s="166"/>
      <c r="T7" s="166"/>
      <c r="U7" s="166"/>
      <c r="V7" s="166"/>
      <c r="W7" s="166"/>
      <c r="X7" s="166"/>
      <c r="Y7" s="80"/>
      <c r="Z7" s="80"/>
      <c r="AA7" s="80"/>
      <c r="AB7" s="80"/>
      <c r="AC7" s="80"/>
    </row>
    <row r="8" spans="1:29" ht="15.75" thickBot="1" x14ac:dyDescent="0.3">
      <c r="A8" s="80"/>
      <c r="B8" s="168"/>
      <c r="C8" s="168"/>
      <c r="D8" s="168"/>
      <c r="E8" s="80"/>
      <c r="F8" s="168"/>
      <c r="G8" s="168"/>
      <c r="H8" s="168"/>
      <c r="I8" s="168"/>
      <c r="J8" s="168"/>
      <c r="K8" s="168"/>
      <c r="L8" s="168"/>
      <c r="M8" s="168"/>
      <c r="N8" s="168"/>
      <c r="O8" s="168"/>
      <c r="P8" s="168"/>
      <c r="Q8" s="168"/>
      <c r="R8" s="168"/>
      <c r="S8" s="80"/>
      <c r="T8" s="80"/>
      <c r="U8" s="80"/>
      <c r="V8" s="80"/>
      <c r="W8" s="80"/>
      <c r="X8" s="80"/>
      <c r="Y8" s="80"/>
      <c r="Z8" s="80"/>
      <c r="AA8" s="80"/>
      <c r="AB8" s="80"/>
      <c r="AC8" s="80"/>
    </row>
    <row r="9" spans="1:29" ht="23.25" x14ac:dyDescent="0.35">
      <c r="A9" s="80"/>
      <c r="B9" s="238" t="s">
        <v>4</v>
      </c>
      <c r="C9" s="239"/>
      <c r="D9" s="240"/>
      <c r="E9" s="169"/>
      <c r="F9" s="170"/>
      <c r="G9" s="171"/>
      <c r="H9" s="171"/>
      <c r="I9" s="171"/>
      <c r="J9" s="168"/>
      <c r="K9" s="168"/>
      <c r="L9" s="168"/>
      <c r="M9" s="168"/>
      <c r="N9" s="168"/>
      <c r="O9" s="168"/>
      <c r="P9" s="168"/>
      <c r="Q9" s="168"/>
      <c r="R9" s="168"/>
      <c r="S9" s="80"/>
      <c r="T9" s="80"/>
      <c r="U9" s="80"/>
      <c r="V9" s="80"/>
      <c r="W9" s="80"/>
      <c r="X9" s="80"/>
      <c r="Y9" s="80"/>
      <c r="Z9" s="80"/>
      <c r="AA9" s="80"/>
      <c r="AB9" s="80"/>
      <c r="AC9" s="80"/>
    </row>
    <row r="10" spans="1:29" x14ac:dyDescent="0.25">
      <c r="A10" s="80"/>
      <c r="B10" s="79"/>
      <c r="C10" s="80"/>
      <c r="D10" s="81"/>
      <c r="E10" s="80"/>
      <c r="F10" s="168"/>
      <c r="G10" s="168"/>
      <c r="H10" s="168"/>
      <c r="I10" s="168"/>
      <c r="J10" s="168"/>
      <c r="K10" s="168"/>
      <c r="L10" s="168"/>
      <c r="M10" s="168"/>
      <c r="N10" s="168"/>
      <c r="O10" s="168"/>
      <c r="P10" s="168"/>
      <c r="Q10" s="168"/>
      <c r="R10" s="168"/>
      <c r="S10" s="80"/>
      <c r="T10" s="80"/>
      <c r="U10" s="80"/>
      <c r="V10" s="80"/>
      <c r="W10" s="80"/>
      <c r="X10" s="80"/>
      <c r="Y10" s="80"/>
      <c r="Z10" s="80"/>
      <c r="AA10" s="80"/>
      <c r="AB10" s="80"/>
      <c r="AC10" s="80"/>
    </row>
    <row r="11" spans="1:29" ht="30.75" customHeight="1" x14ac:dyDescent="0.25">
      <c r="A11" s="80"/>
      <c r="B11" s="172"/>
      <c r="C11" s="235"/>
      <c r="D11" s="236"/>
      <c r="E11" s="80"/>
      <c r="F11" s="173"/>
      <c r="G11" s="168"/>
      <c r="H11" s="168"/>
      <c r="I11" s="168"/>
      <c r="J11" s="168"/>
      <c r="K11" s="168"/>
      <c r="L11" s="168"/>
      <c r="M11" s="168"/>
      <c r="N11" s="168"/>
      <c r="O11" s="168"/>
      <c r="P11" s="168"/>
      <c r="Q11" s="168"/>
      <c r="R11" s="168"/>
      <c r="S11" s="80"/>
      <c r="T11" s="80"/>
      <c r="U11" s="80"/>
      <c r="V11" s="80"/>
      <c r="W11" s="80"/>
      <c r="X11" s="80"/>
      <c r="Y11" s="80"/>
      <c r="Z11" s="80"/>
      <c r="AA11" s="80"/>
      <c r="AB11" s="80"/>
      <c r="AC11" s="80"/>
    </row>
    <row r="12" spans="1:29" x14ac:dyDescent="0.25">
      <c r="A12" s="80"/>
      <c r="B12" s="174"/>
      <c r="C12" s="168"/>
      <c r="D12" s="175"/>
      <c r="E12" s="80"/>
      <c r="F12" s="168"/>
      <c r="G12" s="168"/>
      <c r="H12" s="168"/>
      <c r="I12" s="168"/>
      <c r="J12" s="168"/>
      <c r="K12" s="168"/>
      <c r="L12" s="168"/>
      <c r="M12" s="168"/>
      <c r="N12" s="168"/>
      <c r="O12" s="168"/>
      <c r="P12" s="168"/>
      <c r="Q12" s="168"/>
      <c r="R12" s="168"/>
      <c r="S12" s="80"/>
      <c r="T12" s="80"/>
      <c r="U12" s="80"/>
      <c r="V12" s="80"/>
      <c r="W12" s="80"/>
      <c r="X12" s="80"/>
      <c r="Y12" s="80"/>
      <c r="Z12" s="80"/>
      <c r="AA12" s="80"/>
      <c r="AB12" s="80"/>
      <c r="AC12" s="80"/>
    </row>
    <row r="13" spans="1:29" ht="15.75" x14ac:dyDescent="0.25">
      <c r="A13" s="80"/>
      <c r="B13" s="176" t="s">
        <v>5</v>
      </c>
      <c r="C13" s="177"/>
      <c r="D13" s="178"/>
      <c r="E13" s="80"/>
      <c r="F13" s="173"/>
      <c r="G13" s="168"/>
      <c r="H13" s="168"/>
      <c r="I13" s="168"/>
      <c r="J13" s="168"/>
      <c r="K13" s="168"/>
      <c r="L13" s="168"/>
      <c r="M13" s="168"/>
      <c r="N13" s="168"/>
      <c r="O13" s="168"/>
      <c r="P13" s="168"/>
      <c r="Q13" s="168"/>
      <c r="R13" s="168"/>
      <c r="S13" s="80"/>
      <c r="T13" s="80"/>
      <c r="U13" s="80"/>
      <c r="V13" s="80"/>
      <c r="W13" s="80"/>
      <c r="X13" s="80"/>
      <c r="Y13" s="80"/>
      <c r="Z13" s="80"/>
      <c r="AA13" s="80"/>
      <c r="AB13" s="80"/>
      <c r="AC13" s="80"/>
    </row>
    <row r="14" spans="1:29" x14ac:dyDescent="0.25">
      <c r="A14" s="80"/>
      <c r="B14" s="179" t="s">
        <v>6</v>
      </c>
      <c r="C14" s="242">
        <v>30000</v>
      </c>
      <c r="D14" s="175" t="s">
        <v>7</v>
      </c>
      <c r="E14" s="80"/>
      <c r="F14" s="168"/>
      <c r="G14" s="168"/>
      <c r="H14" s="168"/>
      <c r="I14" s="168"/>
      <c r="J14" s="168"/>
      <c r="K14" s="168"/>
      <c r="L14" s="168"/>
      <c r="M14" s="168"/>
      <c r="N14" s="168"/>
      <c r="O14" s="168"/>
      <c r="P14" s="168"/>
      <c r="Q14" s="168"/>
      <c r="R14" s="168"/>
      <c r="S14" s="80"/>
      <c r="T14" s="80"/>
      <c r="U14" s="80"/>
      <c r="V14" s="80"/>
      <c r="W14" s="80"/>
      <c r="X14" s="80"/>
      <c r="Y14" s="80"/>
      <c r="Z14" s="80"/>
      <c r="AA14" s="80"/>
      <c r="AB14" s="80"/>
      <c r="AC14" s="80"/>
    </row>
    <row r="15" spans="1:29" x14ac:dyDescent="0.25">
      <c r="A15" s="80"/>
      <c r="B15" s="174" t="s">
        <v>8</v>
      </c>
      <c r="C15" s="242">
        <v>15</v>
      </c>
      <c r="D15" s="175" t="s">
        <v>9</v>
      </c>
      <c r="E15" s="80"/>
      <c r="F15" s="168"/>
      <c r="G15" s="168"/>
      <c r="H15" s="168"/>
      <c r="I15" s="168"/>
      <c r="J15" s="168"/>
      <c r="K15" s="168"/>
      <c r="L15" s="168"/>
      <c r="M15" s="168"/>
      <c r="N15" s="168"/>
      <c r="O15" s="168"/>
      <c r="P15" s="168"/>
      <c r="Q15" s="168"/>
      <c r="R15" s="168"/>
      <c r="S15" s="80"/>
      <c r="T15" s="80"/>
      <c r="U15" s="80"/>
      <c r="V15" s="80"/>
      <c r="W15" s="80"/>
      <c r="X15" s="80"/>
      <c r="Y15" s="80"/>
      <c r="Z15" s="80"/>
      <c r="AA15" s="80"/>
      <c r="AB15" s="80"/>
      <c r="AC15" s="80"/>
    </row>
    <row r="16" spans="1:29" ht="15.75" thickBot="1" x14ac:dyDescent="0.3">
      <c r="A16" s="80"/>
      <c r="B16" s="186"/>
      <c r="C16" s="187"/>
      <c r="D16" s="188"/>
      <c r="E16" s="80"/>
      <c r="F16" s="168"/>
      <c r="G16" s="168"/>
      <c r="H16" s="168"/>
      <c r="I16" s="168"/>
      <c r="J16" s="168"/>
      <c r="K16" s="168"/>
      <c r="L16" s="168"/>
      <c r="M16" s="168"/>
      <c r="N16" s="168"/>
      <c r="O16" s="168"/>
      <c r="P16" s="168"/>
      <c r="Q16" s="168"/>
      <c r="R16" s="168"/>
      <c r="S16" s="80"/>
      <c r="T16" s="80"/>
      <c r="U16" s="80"/>
      <c r="V16" s="80"/>
      <c r="W16" s="80"/>
      <c r="X16" s="80"/>
      <c r="Y16" s="80"/>
      <c r="Z16" s="80"/>
      <c r="AA16" s="80"/>
      <c r="AB16" s="80"/>
      <c r="AC16" s="80"/>
    </row>
    <row r="17" spans="1:29" x14ac:dyDescent="0.25">
      <c r="A17" s="80"/>
      <c r="B17" s="168"/>
      <c r="C17" s="168"/>
      <c r="D17" s="168"/>
      <c r="E17" s="80"/>
      <c r="F17" s="168"/>
      <c r="G17" s="168"/>
      <c r="H17" s="168"/>
      <c r="I17" s="168"/>
      <c r="J17" s="168"/>
      <c r="K17" s="168"/>
      <c r="L17" s="168"/>
      <c r="M17" s="168"/>
      <c r="N17" s="168"/>
      <c r="O17" s="168"/>
      <c r="P17" s="168"/>
      <c r="Q17" s="168"/>
      <c r="R17" s="168"/>
      <c r="S17" s="80"/>
      <c r="T17" s="80"/>
      <c r="U17" s="80"/>
      <c r="V17" s="80"/>
      <c r="W17" s="80"/>
      <c r="X17" s="80"/>
      <c r="Y17" s="80"/>
      <c r="Z17" s="80"/>
      <c r="AA17" s="80"/>
      <c r="AB17" s="80"/>
      <c r="AC17" s="80"/>
    </row>
    <row r="18" spans="1:29" ht="15.75" thickBot="1" x14ac:dyDescent="0.3">
      <c r="A18" s="80"/>
      <c r="B18" s="168"/>
      <c r="C18" s="168"/>
      <c r="D18" s="168"/>
      <c r="E18" s="80"/>
      <c r="F18" s="168"/>
      <c r="G18" s="168"/>
      <c r="H18" s="168"/>
      <c r="I18" s="168"/>
      <c r="J18" s="80"/>
      <c r="K18" s="80"/>
      <c r="L18" s="168"/>
      <c r="M18" s="168"/>
      <c r="N18" s="168"/>
      <c r="O18" s="168"/>
      <c r="P18" s="168"/>
      <c r="Q18" s="168"/>
      <c r="R18" s="168"/>
      <c r="S18" s="80"/>
      <c r="T18" s="80"/>
      <c r="U18" s="80"/>
      <c r="V18" s="80"/>
      <c r="W18" s="80"/>
      <c r="X18" s="80"/>
      <c r="Y18" s="80"/>
      <c r="Z18" s="80"/>
      <c r="AA18" s="80"/>
      <c r="AB18" s="80"/>
      <c r="AC18" s="80"/>
    </row>
    <row r="19" spans="1:29" ht="15.75" x14ac:dyDescent="0.25">
      <c r="A19" s="80"/>
      <c r="B19" s="180" t="s">
        <v>10</v>
      </c>
      <c r="C19" s="181"/>
      <c r="D19" s="182"/>
      <c r="E19" s="80"/>
      <c r="F19" s="168"/>
      <c r="G19" s="168"/>
      <c r="H19" s="168"/>
      <c r="I19" s="168"/>
      <c r="J19" s="80"/>
      <c r="K19" s="80"/>
      <c r="L19" s="168"/>
      <c r="M19" s="168"/>
      <c r="N19" s="168"/>
      <c r="O19" s="168"/>
      <c r="P19" s="168"/>
      <c r="Q19" s="168"/>
      <c r="R19" s="168"/>
      <c r="S19" s="80"/>
      <c r="T19" s="80"/>
      <c r="U19" s="80"/>
      <c r="V19" s="80"/>
      <c r="W19" s="80"/>
      <c r="X19" s="80"/>
      <c r="Y19" s="80"/>
      <c r="Z19" s="80"/>
      <c r="AA19" s="80"/>
      <c r="AB19" s="80"/>
      <c r="AC19" s="80"/>
    </row>
    <row r="20" spans="1:29" ht="15.75" x14ac:dyDescent="0.25">
      <c r="A20" s="80"/>
      <c r="B20" s="183"/>
      <c r="C20" s="168"/>
      <c r="D20" s="175"/>
      <c r="E20" s="80"/>
      <c r="F20" s="168"/>
      <c r="G20" s="168"/>
      <c r="H20" s="168"/>
      <c r="I20" s="168"/>
      <c r="J20" s="80"/>
      <c r="K20" s="80"/>
      <c r="L20" s="168"/>
      <c r="M20" s="168"/>
      <c r="N20" s="168"/>
      <c r="O20" s="168"/>
      <c r="P20" s="168"/>
      <c r="Q20" s="168"/>
      <c r="R20" s="168"/>
      <c r="S20" s="80"/>
      <c r="T20" s="80"/>
      <c r="U20" s="80"/>
      <c r="V20" s="80"/>
      <c r="W20" s="80"/>
      <c r="X20" s="80"/>
      <c r="Y20" s="80"/>
      <c r="Z20" s="80"/>
      <c r="AA20" s="80"/>
      <c r="AB20" s="80"/>
      <c r="AC20" s="80"/>
    </row>
    <row r="21" spans="1:29" x14ac:dyDescent="0.25">
      <c r="A21" s="80"/>
      <c r="B21" s="174" t="s">
        <v>11</v>
      </c>
      <c r="C21" s="168">
        <v>10.5</v>
      </c>
      <c r="D21" s="175" t="s">
        <v>12</v>
      </c>
      <c r="E21" s="80"/>
      <c r="F21" s="168"/>
      <c r="G21" s="168"/>
      <c r="H21" s="168"/>
      <c r="I21" s="168"/>
      <c r="J21" s="80"/>
      <c r="K21" s="80"/>
      <c r="L21" s="168"/>
      <c r="M21" s="168"/>
      <c r="N21" s="168"/>
      <c r="O21" s="168"/>
      <c r="P21" s="168"/>
      <c r="Q21" s="168"/>
      <c r="R21" s="168"/>
      <c r="S21" s="80"/>
      <c r="T21" s="80"/>
      <c r="U21" s="80"/>
      <c r="V21" s="80"/>
      <c r="W21" s="80"/>
      <c r="X21" s="80"/>
      <c r="Y21" s="80"/>
      <c r="Z21" s="80"/>
      <c r="AA21" s="80"/>
      <c r="AB21" s="80"/>
      <c r="AC21" s="80"/>
    </row>
    <row r="22" spans="1:29" x14ac:dyDescent="0.25">
      <c r="A22" s="80"/>
      <c r="B22" s="184" t="s">
        <v>13</v>
      </c>
      <c r="C22" s="194">
        <f>C14*C21*1/100</f>
        <v>3150</v>
      </c>
      <c r="D22" s="185" t="s">
        <v>14</v>
      </c>
      <c r="E22" s="80"/>
      <c r="F22" s="168"/>
      <c r="G22" s="168"/>
      <c r="H22" s="168"/>
      <c r="I22" s="168"/>
      <c r="J22" s="80"/>
      <c r="K22" s="80"/>
      <c r="L22" s="168"/>
      <c r="M22" s="168"/>
      <c r="N22" s="168"/>
      <c r="O22" s="168"/>
      <c r="P22" s="168"/>
      <c r="Q22" s="168"/>
      <c r="R22" s="168"/>
      <c r="S22" s="80"/>
      <c r="T22" s="80"/>
      <c r="U22" s="80"/>
      <c r="V22" s="80"/>
      <c r="W22" s="80"/>
      <c r="X22" s="80"/>
      <c r="Y22" s="80"/>
      <c r="Z22" s="80"/>
      <c r="AA22" s="80"/>
      <c r="AB22" s="80"/>
      <c r="AC22" s="80"/>
    </row>
    <row r="23" spans="1:29" ht="15.75" x14ac:dyDescent="0.25">
      <c r="A23" s="80"/>
      <c r="B23" s="183"/>
      <c r="C23" s="168"/>
      <c r="D23" s="175"/>
      <c r="E23" s="80"/>
      <c r="F23" s="168"/>
      <c r="G23" s="168"/>
      <c r="H23" s="168"/>
      <c r="I23" s="168"/>
      <c r="J23" s="80"/>
      <c r="K23" s="80"/>
      <c r="L23" s="168"/>
      <c r="M23" s="168"/>
      <c r="N23" s="168"/>
      <c r="O23" s="168"/>
      <c r="P23" s="168"/>
      <c r="Q23" s="168"/>
      <c r="R23" s="168"/>
      <c r="S23" s="80"/>
      <c r="T23" s="80"/>
      <c r="U23" s="80"/>
      <c r="V23" s="80"/>
      <c r="W23" s="80"/>
      <c r="X23" s="80"/>
      <c r="Y23" s="80"/>
      <c r="Z23" s="80"/>
      <c r="AA23" s="80"/>
      <c r="AB23" s="80"/>
      <c r="AC23" s="80"/>
    </row>
    <row r="24" spans="1:29" x14ac:dyDescent="0.25">
      <c r="A24" s="80"/>
      <c r="B24" s="174" t="s">
        <v>15</v>
      </c>
      <c r="C24" s="193">
        <v>220</v>
      </c>
      <c r="D24" s="175" t="s">
        <v>16</v>
      </c>
      <c r="E24" s="80"/>
      <c r="F24" s="168"/>
      <c r="G24" s="168"/>
      <c r="H24" s="168"/>
      <c r="I24" s="168"/>
      <c r="J24" s="80"/>
      <c r="K24" s="80"/>
      <c r="L24" s="168"/>
      <c r="M24" s="168"/>
      <c r="N24" s="168"/>
      <c r="O24" s="168"/>
      <c r="P24" s="168"/>
      <c r="Q24" s="168"/>
      <c r="R24" s="168"/>
      <c r="S24" s="80"/>
      <c r="T24" s="80"/>
      <c r="U24" s="80"/>
      <c r="V24" s="80"/>
      <c r="W24" s="80"/>
      <c r="X24" s="80"/>
      <c r="Y24" s="80"/>
      <c r="Z24" s="80"/>
      <c r="AA24" s="80"/>
      <c r="AB24" s="80"/>
      <c r="AC24" s="80"/>
    </row>
    <row r="25" spans="1:29" x14ac:dyDescent="0.25">
      <c r="A25" s="80"/>
      <c r="B25" s="184" t="s">
        <v>13</v>
      </c>
      <c r="C25" s="192">
        <f>kostenberechnung!D12</f>
        <v>3300</v>
      </c>
      <c r="D25" s="185" t="s">
        <v>14</v>
      </c>
      <c r="E25" s="80"/>
      <c r="F25" s="168"/>
      <c r="G25" s="168"/>
      <c r="H25" s="168"/>
      <c r="I25" s="168"/>
      <c r="J25" s="80"/>
      <c r="K25" s="80"/>
      <c r="L25" s="168"/>
      <c r="M25" s="168"/>
      <c r="N25" s="168"/>
      <c r="O25" s="168"/>
      <c r="P25" s="168"/>
      <c r="Q25" s="168"/>
      <c r="R25" s="168"/>
      <c r="S25" s="80"/>
      <c r="T25" s="80"/>
      <c r="U25" s="80"/>
      <c r="V25" s="80"/>
      <c r="W25" s="80"/>
      <c r="X25" s="80"/>
      <c r="Y25" s="80"/>
      <c r="Z25" s="80"/>
      <c r="AA25" s="80"/>
      <c r="AB25" s="80"/>
      <c r="AC25" s="80"/>
    </row>
    <row r="26" spans="1:29" x14ac:dyDescent="0.25">
      <c r="A26" s="80"/>
      <c r="B26" s="174"/>
      <c r="C26" s="168"/>
      <c r="D26" s="175"/>
      <c r="E26" s="80"/>
      <c r="F26" s="168"/>
      <c r="G26" s="168"/>
      <c r="H26" s="168"/>
      <c r="I26" s="80"/>
      <c r="J26" s="168"/>
      <c r="K26" s="168"/>
      <c r="L26" s="80"/>
      <c r="M26" s="80"/>
      <c r="N26" s="80"/>
      <c r="O26" s="168"/>
      <c r="P26" s="168"/>
      <c r="Q26" s="168"/>
      <c r="R26" s="168"/>
      <c r="S26" s="80"/>
      <c r="T26" s="80"/>
      <c r="U26" s="80"/>
      <c r="V26" s="80"/>
      <c r="W26" s="80"/>
      <c r="X26" s="80"/>
      <c r="Y26" s="80"/>
      <c r="Z26" s="80"/>
      <c r="AA26" s="80"/>
      <c r="AB26" s="80"/>
      <c r="AC26" s="80"/>
    </row>
    <row r="27" spans="1:29" x14ac:dyDescent="0.25">
      <c r="A27" s="80"/>
      <c r="B27" s="174" t="s">
        <v>17</v>
      </c>
      <c r="C27" s="193">
        <v>1100</v>
      </c>
      <c r="D27" s="175" t="s">
        <v>18</v>
      </c>
      <c r="E27" s="80"/>
      <c r="F27" s="173"/>
      <c r="G27" s="168"/>
      <c r="H27" s="168"/>
      <c r="I27" s="80"/>
      <c r="J27" s="168"/>
      <c r="K27" s="168"/>
      <c r="L27" s="168"/>
      <c r="M27" s="168"/>
      <c r="N27" s="168"/>
      <c r="O27" s="168"/>
      <c r="P27" s="168"/>
      <c r="Q27" s="168"/>
      <c r="R27" s="168"/>
      <c r="S27" s="80"/>
      <c r="T27" s="80"/>
      <c r="U27" s="80"/>
      <c r="V27" s="80"/>
      <c r="W27" s="80"/>
      <c r="X27" s="80"/>
      <c r="Y27" s="80"/>
      <c r="Z27" s="80"/>
      <c r="AA27" s="80"/>
      <c r="AB27" s="80"/>
      <c r="AC27" s="80"/>
    </row>
    <row r="28" spans="1:29" ht="15.75" thickBot="1" x14ac:dyDescent="0.3">
      <c r="A28" s="80"/>
      <c r="B28" s="189" t="s">
        <v>13</v>
      </c>
      <c r="C28" s="190">
        <f>kostenberechnung!D13</f>
        <v>16500</v>
      </c>
      <c r="D28" s="191" t="s">
        <v>19</v>
      </c>
      <c r="E28" s="80"/>
      <c r="F28" s="168"/>
      <c r="G28" s="168"/>
      <c r="H28" s="168"/>
      <c r="I28" s="80"/>
      <c r="J28" s="80"/>
      <c r="K28" s="80"/>
      <c r="L28" s="80"/>
      <c r="M28" s="80"/>
      <c r="N28" s="80"/>
      <c r="O28" s="80"/>
      <c r="P28" s="168"/>
      <c r="Q28" s="168"/>
      <c r="R28" s="168"/>
      <c r="S28" s="168"/>
      <c r="T28" s="168"/>
      <c r="U28" s="80"/>
      <c r="V28" s="80"/>
      <c r="W28" s="80"/>
      <c r="X28" s="80"/>
      <c r="Y28" s="80"/>
      <c r="Z28" s="80"/>
      <c r="AA28" s="80"/>
      <c r="AB28" s="80"/>
      <c r="AC28" s="80"/>
    </row>
    <row r="29" spans="1:29" x14ac:dyDescent="0.25">
      <c r="A29" s="80"/>
      <c r="B29" s="80"/>
      <c r="C29" s="80"/>
      <c r="D29" s="80"/>
      <c r="E29" s="80"/>
      <c r="F29" s="168"/>
      <c r="G29" s="168"/>
      <c r="H29" s="168"/>
      <c r="I29" s="80"/>
      <c r="J29" s="80"/>
      <c r="K29" s="80"/>
      <c r="L29" s="80"/>
      <c r="M29" s="80"/>
      <c r="N29" s="80"/>
      <c r="O29" s="80"/>
      <c r="P29" s="168"/>
      <c r="Q29" s="168"/>
      <c r="R29" s="168"/>
      <c r="S29" s="168"/>
      <c r="T29" s="168"/>
      <c r="U29" s="80"/>
      <c r="V29" s="80"/>
      <c r="W29" s="80"/>
      <c r="X29" s="80"/>
      <c r="Y29" s="80"/>
      <c r="Z29" s="80"/>
      <c r="AA29" s="80"/>
      <c r="AB29" s="80"/>
      <c r="AC29" s="80"/>
    </row>
    <row r="30" spans="1:29" x14ac:dyDescent="0.25">
      <c r="A30" s="80"/>
      <c r="B30" s="80"/>
      <c r="C30" s="80"/>
      <c r="D30" s="80"/>
      <c r="E30" s="80"/>
      <c r="F30" s="168"/>
      <c r="G30" s="168"/>
      <c r="H30" s="168"/>
      <c r="I30" s="80"/>
      <c r="J30" s="80"/>
      <c r="K30" s="80"/>
      <c r="L30" s="80"/>
      <c r="M30" s="80"/>
      <c r="N30" s="80"/>
      <c r="O30" s="80"/>
      <c r="P30" s="80"/>
      <c r="Q30" s="80"/>
      <c r="R30" s="168"/>
      <c r="S30" s="168"/>
      <c r="T30" s="168"/>
      <c r="U30" s="80"/>
      <c r="V30" s="80"/>
      <c r="W30" s="80"/>
      <c r="X30" s="80"/>
      <c r="Y30" s="80"/>
      <c r="Z30" s="80"/>
      <c r="AA30" s="80"/>
      <c r="AB30" s="80"/>
      <c r="AC30" s="80"/>
    </row>
    <row r="31" spans="1:29" x14ac:dyDescent="0.25">
      <c r="A31" s="80"/>
      <c r="B31" s="80"/>
      <c r="C31" s="80"/>
      <c r="D31" s="80"/>
      <c r="E31" s="80"/>
      <c r="F31" s="168"/>
      <c r="G31" s="168"/>
      <c r="H31" s="168"/>
      <c r="I31" s="80"/>
      <c r="J31" s="80"/>
      <c r="K31" s="80"/>
      <c r="L31" s="80"/>
      <c r="M31" s="80"/>
      <c r="N31" s="80"/>
      <c r="O31" s="168"/>
      <c r="P31" s="80"/>
      <c r="Q31" s="168"/>
      <c r="R31" s="168"/>
      <c r="S31" s="168"/>
      <c r="T31" s="168"/>
      <c r="U31" s="80"/>
      <c r="V31" s="80"/>
      <c r="W31" s="80"/>
      <c r="X31" s="80"/>
      <c r="Y31" s="80"/>
      <c r="Z31" s="80"/>
      <c r="AA31" s="80"/>
      <c r="AB31" s="80"/>
      <c r="AC31" s="80"/>
    </row>
    <row r="32" spans="1:29" x14ac:dyDescent="0.25">
      <c r="A32" s="80"/>
      <c r="B32" s="80"/>
      <c r="C32" s="80"/>
      <c r="D32" s="80"/>
      <c r="E32" s="80"/>
      <c r="F32" s="173"/>
      <c r="G32" s="168"/>
      <c r="H32" s="168"/>
      <c r="I32" s="80"/>
      <c r="J32" s="80"/>
      <c r="K32" s="80"/>
      <c r="L32" s="80"/>
      <c r="M32" s="80"/>
      <c r="N32" s="80"/>
      <c r="O32" s="168"/>
      <c r="P32" s="168"/>
      <c r="Q32" s="168"/>
      <c r="R32" s="168"/>
      <c r="S32" s="168"/>
      <c r="T32" s="168"/>
      <c r="U32" s="80"/>
      <c r="V32" s="80"/>
      <c r="W32" s="80"/>
      <c r="X32" s="80"/>
      <c r="Y32" s="80"/>
      <c r="Z32" s="80"/>
      <c r="AA32" s="80"/>
      <c r="AB32" s="80"/>
      <c r="AC32" s="80"/>
    </row>
    <row r="33" spans="1:29" x14ac:dyDescent="0.25">
      <c r="A33" s="80"/>
      <c r="B33" s="80"/>
      <c r="C33" s="80"/>
      <c r="D33" s="80"/>
      <c r="E33" s="80"/>
      <c r="F33" s="168"/>
      <c r="G33" s="168"/>
      <c r="H33" s="168"/>
      <c r="I33" s="168"/>
      <c r="J33" s="168"/>
      <c r="K33" s="80"/>
      <c r="L33" s="80"/>
      <c r="M33" s="80"/>
      <c r="N33" s="80"/>
      <c r="O33" s="168"/>
      <c r="P33" s="168"/>
      <c r="Q33" s="168"/>
      <c r="R33" s="168"/>
      <c r="S33" s="168"/>
      <c r="T33" s="168"/>
      <c r="U33" s="80"/>
      <c r="V33" s="80"/>
      <c r="W33" s="80"/>
      <c r="X33" s="80"/>
      <c r="Y33" s="80"/>
      <c r="Z33" s="80"/>
      <c r="AA33" s="80"/>
      <c r="AB33" s="80"/>
      <c r="AC33" s="80"/>
    </row>
    <row r="34" spans="1:29" x14ac:dyDescent="0.25">
      <c r="A34" s="80"/>
      <c r="B34" s="80"/>
      <c r="C34" s="80"/>
      <c r="D34" s="80"/>
      <c r="E34" s="168"/>
      <c r="F34" s="80"/>
      <c r="G34" s="80"/>
      <c r="H34" s="80"/>
      <c r="I34" s="80"/>
      <c r="J34" s="168"/>
      <c r="K34" s="80"/>
      <c r="L34" s="80"/>
      <c r="M34" s="80"/>
      <c r="N34" s="80"/>
      <c r="O34" s="168"/>
      <c r="P34" s="168"/>
      <c r="Q34" s="168"/>
      <c r="R34" s="168"/>
      <c r="S34" s="168"/>
      <c r="T34" s="168"/>
      <c r="U34" s="80"/>
      <c r="V34" s="80"/>
      <c r="W34" s="80"/>
      <c r="X34" s="80"/>
      <c r="Y34" s="80"/>
      <c r="Z34" s="80"/>
      <c r="AA34" s="80"/>
      <c r="AB34" s="80"/>
      <c r="AC34" s="80"/>
    </row>
    <row r="35" spans="1:29" x14ac:dyDescent="0.25">
      <c r="A35" s="80"/>
      <c r="B35" s="80"/>
      <c r="C35" s="80"/>
      <c r="D35" s="80"/>
      <c r="E35" s="168"/>
      <c r="F35" s="80"/>
      <c r="G35" s="80"/>
      <c r="H35" s="80"/>
      <c r="I35" s="80"/>
      <c r="J35" s="80"/>
      <c r="K35" s="80"/>
      <c r="L35" s="80"/>
      <c r="M35" s="80"/>
      <c r="N35" s="80"/>
      <c r="O35" s="168"/>
      <c r="P35" s="168"/>
      <c r="Q35" s="168"/>
      <c r="R35" s="168"/>
      <c r="S35" s="168"/>
      <c r="T35" s="168"/>
      <c r="U35" s="80"/>
      <c r="V35" s="80"/>
      <c r="W35" s="80"/>
      <c r="X35" s="80"/>
      <c r="Y35" s="80"/>
      <c r="Z35" s="80"/>
      <c r="AA35" s="80"/>
      <c r="AB35" s="80"/>
      <c r="AC35" s="80"/>
    </row>
    <row r="36" spans="1:29" x14ac:dyDescent="0.25">
      <c r="A36" s="80"/>
      <c r="B36" s="80"/>
      <c r="C36" s="80"/>
      <c r="D36" s="80"/>
      <c r="E36" s="168"/>
      <c r="F36" s="168"/>
      <c r="G36" s="168"/>
      <c r="H36" s="168"/>
      <c r="I36" s="168"/>
      <c r="J36" s="80"/>
      <c r="K36" s="80"/>
      <c r="L36" s="80"/>
      <c r="M36" s="80"/>
      <c r="N36" s="80"/>
      <c r="O36" s="80"/>
      <c r="P36" s="80"/>
      <c r="Q36" s="80"/>
      <c r="R36" s="80"/>
      <c r="S36" s="80"/>
      <c r="T36" s="80"/>
      <c r="U36" s="80"/>
      <c r="V36" s="80"/>
      <c r="W36" s="80"/>
      <c r="X36" s="80"/>
      <c r="Y36" s="80"/>
      <c r="Z36" s="80"/>
      <c r="AA36" s="80"/>
      <c r="AB36" s="80"/>
      <c r="AC36" s="80"/>
    </row>
    <row r="37" spans="1:29" x14ac:dyDescent="0.25">
      <c r="A37" s="80"/>
      <c r="B37" s="80"/>
      <c r="C37" s="80"/>
      <c r="D37" s="80"/>
      <c r="E37" s="168"/>
      <c r="F37" s="168"/>
      <c r="G37" s="168"/>
      <c r="H37" s="168"/>
      <c r="I37" s="168"/>
      <c r="J37" s="168"/>
      <c r="K37" s="80"/>
      <c r="L37" s="80"/>
      <c r="M37" s="80"/>
      <c r="N37" s="80"/>
      <c r="O37" s="80"/>
      <c r="P37" s="80"/>
      <c r="Q37" s="80"/>
      <c r="R37" s="80"/>
      <c r="S37" s="80"/>
      <c r="T37" s="80"/>
      <c r="U37" s="80"/>
      <c r="V37" s="80"/>
      <c r="W37" s="80"/>
      <c r="X37" s="80"/>
      <c r="Y37" s="80"/>
      <c r="Z37" s="80"/>
      <c r="AA37" s="80"/>
      <c r="AB37" s="80"/>
      <c r="AC37" s="80"/>
    </row>
    <row r="38" spans="1:29" x14ac:dyDescent="0.25">
      <c r="A38" s="80"/>
      <c r="B38" s="80"/>
      <c r="C38" s="80"/>
      <c r="D38" s="80"/>
      <c r="E38" s="168"/>
      <c r="F38" s="168"/>
      <c r="G38" s="168"/>
      <c r="H38" s="168"/>
      <c r="I38" s="168"/>
      <c r="J38" s="168"/>
      <c r="K38" s="80"/>
      <c r="L38" s="80"/>
      <c r="M38" s="80"/>
      <c r="N38" s="80"/>
      <c r="O38" s="80"/>
      <c r="P38" s="80"/>
      <c r="Q38" s="80"/>
      <c r="R38" s="80"/>
      <c r="S38" s="80"/>
      <c r="T38" s="80"/>
      <c r="U38" s="80"/>
      <c r="V38" s="80"/>
      <c r="W38" s="80"/>
      <c r="X38" s="80"/>
      <c r="Y38" s="80"/>
      <c r="Z38" s="80"/>
      <c r="AA38" s="80"/>
      <c r="AB38" s="80"/>
      <c r="AC38" s="80"/>
    </row>
    <row r="39" spans="1:29" x14ac:dyDescent="0.25">
      <c r="A39" s="80"/>
      <c r="B39" s="80"/>
      <c r="C39" s="80"/>
      <c r="D39" s="80"/>
      <c r="E39" s="168"/>
      <c r="F39" s="168"/>
      <c r="G39" s="168"/>
      <c r="H39" s="168"/>
      <c r="I39" s="168"/>
      <c r="J39" s="168"/>
      <c r="K39" s="80"/>
      <c r="L39" s="80"/>
      <c r="M39" s="80"/>
      <c r="N39" s="80"/>
      <c r="O39" s="80"/>
      <c r="P39" s="80"/>
      <c r="Q39" s="80"/>
      <c r="R39" s="80"/>
      <c r="S39" s="80"/>
      <c r="T39" s="80"/>
      <c r="U39" s="80"/>
      <c r="V39" s="80"/>
      <c r="W39" s="80"/>
      <c r="X39" s="80"/>
      <c r="Y39" s="80"/>
      <c r="Z39" s="80"/>
      <c r="AA39" s="80"/>
      <c r="AB39" s="80"/>
      <c r="AC39" s="80"/>
    </row>
    <row r="40" spans="1:29" x14ac:dyDescent="0.25">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row>
    <row r="41" spans="1:29" x14ac:dyDescent="0.25">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row>
    <row r="42" spans="1:29" x14ac:dyDescent="0.25">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row>
    <row r="43" spans="1:29" x14ac:dyDescent="0.25">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row>
    <row r="44" spans="1:29" x14ac:dyDescent="0.25">
      <c r="A44" s="80"/>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row>
    <row r="45" spans="1:29" x14ac:dyDescent="0.25">
      <c r="A45" s="80"/>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row>
    <row r="46" spans="1:29" x14ac:dyDescent="0.25">
      <c r="A46" s="80"/>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row>
    <row r="47" spans="1:29" x14ac:dyDescent="0.25">
      <c r="A47" s="80"/>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row>
    <row r="48" spans="1:29" x14ac:dyDescent="0.25">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row>
    <row r="49" spans="1:29" x14ac:dyDescent="0.25">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row>
    <row r="50" spans="1:29" x14ac:dyDescent="0.25">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row>
    <row r="51" spans="1:29" x14ac:dyDescent="0.25">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row>
    <row r="52" spans="1:29" x14ac:dyDescent="0.2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row>
    <row r="53" spans="1:29" x14ac:dyDescent="0.25">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row>
    <row r="54" spans="1:29" x14ac:dyDescent="0.25">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row>
    <row r="55" spans="1:29" x14ac:dyDescent="0.2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row>
    <row r="56" spans="1:29" x14ac:dyDescent="0.2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row>
    <row r="57" spans="1:29" x14ac:dyDescent="0.2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row>
    <row r="58" spans="1:29" x14ac:dyDescent="0.2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row>
    <row r="59" spans="1:29" x14ac:dyDescent="0.2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row>
    <row r="60" spans="1:29" x14ac:dyDescent="0.25">
      <c r="B60" s="80"/>
      <c r="C60" s="80"/>
      <c r="D60" s="80"/>
    </row>
    <row r="61" spans="1:29" x14ac:dyDescent="0.25">
      <c r="B61" s="80"/>
      <c r="C61" s="80"/>
      <c r="D61" s="80"/>
    </row>
    <row r="62" spans="1:29" x14ac:dyDescent="0.25">
      <c r="B62" s="80"/>
      <c r="C62" s="80"/>
      <c r="D62" s="80"/>
    </row>
  </sheetData>
  <sheetProtection sheet="1" objects="1" scenarios="1"/>
  <mergeCells count="3">
    <mergeCell ref="C11:D11"/>
    <mergeCell ref="B1:X1"/>
    <mergeCell ref="B9:D9"/>
  </mergeCells>
  <pageMargins left="0.7" right="0.7" top="0.78740157499999996" bottom="0.78740157499999996" header="0.3" footer="0.3"/>
  <pageSetup paperSize="9" scale="37" orientation="landscape"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CF56291-9606-461D-978E-21188319EB2D}">
          <x14:formula1>
            <xm:f>kostenberechnung!$D$7:$J$7</xm:f>
          </x14:formula1>
          <xm:sqref>C11:D11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4FC8A-492B-45C7-BAF1-2E307AF61CC1}">
  <dimension ref="A2:Q143"/>
  <sheetViews>
    <sheetView zoomScale="87" zoomScaleNormal="115" workbookViewId="0">
      <selection activeCell="L52" sqref="L52"/>
    </sheetView>
  </sheetViews>
  <sheetFormatPr baseColWidth="10" defaultColWidth="11.42578125" defaultRowHeight="15" outlineLevelRow="2" x14ac:dyDescent="0.25"/>
  <cols>
    <col min="1" max="1" width="48.85546875" customWidth="1"/>
    <col min="2" max="2" width="20.28515625" style="114" customWidth="1"/>
    <col min="3" max="3" width="23.85546875" bestFit="1" customWidth="1"/>
    <col min="4" max="4" width="18.85546875" customWidth="1"/>
    <col min="5" max="5" width="17.85546875" bestFit="1" customWidth="1"/>
    <col min="6" max="6" width="18.42578125" customWidth="1"/>
    <col min="7" max="7" width="18.85546875" customWidth="1"/>
    <col min="8" max="8" width="17.7109375" customWidth="1"/>
    <col min="9" max="10" width="18" customWidth="1"/>
    <col min="11" max="11" width="14.28515625" bestFit="1" customWidth="1"/>
    <col min="12" max="12" width="7.140625" bestFit="1" customWidth="1"/>
    <col min="13" max="13" width="13.7109375" bestFit="1" customWidth="1"/>
    <col min="15" max="15" width="9.140625" customWidth="1"/>
    <col min="28" max="28" width="12.42578125" customWidth="1"/>
  </cols>
  <sheetData>
    <row r="2" spans="1:11" ht="18.75" x14ac:dyDescent="0.3">
      <c r="A2" s="1" t="s">
        <v>20</v>
      </c>
      <c r="B2" s="111"/>
      <c r="C2" s="1" t="s">
        <v>21</v>
      </c>
      <c r="D2" s="212">
        <v>1850</v>
      </c>
      <c r="G2" s="1" t="s">
        <v>22</v>
      </c>
      <c r="H2" s="1"/>
      <c r="I2" s="1">
        <v>30</v>
      </c>
      <c r="J2" s="1" t="s">
        <v>23</v>
      </c>
    </row>
    <row r="3" spans="1:11" ht="12.75" customHeight="1" x14ac:dyDescent="0.25">
      <c r="A3" s="1"/>
      <c r="B3" s="111"/>
      <c r="C3" s="1"/>
      <c r="G3" s="1"/>
      <c r="H3" s="1"/>
      <c r="I3" s="1"/>
      <c r="J3" s="1"/>
    </row>
    <row r="4" spans="1:11" ht="21" customHeight="1" thickBot="1" x14ac:dyDescent="0.3">
      <c r="A4" s="2" t="s">
        <v>24</v>
      </c>
      <c r="B4" s="112"/>
      <c r="C4" s="2"/>
      <c r="D4" s="3"/>
      <c r="E4" s="3"/>
      <c r="F4" s="3"/>
      <c r="G4" s="3"/>
      <c r="H4" s="3"/>
      <c r="I4" s="3"/>
      <c r="J4" s="3"/>
    </row>
    <row r="5" spans="1:11" s="5" customFormat="1" ht="15.75" x14ac:dyDescent="0.25">
      <c r="A5" s="4" t="s">
        <v>25</v>
      </c>
      <c r="B5" s="113"/>
      <c r="C5" s="4"/>
      <c r="D5" s="5" t="s">
        <v>26</v>
      </c>
    </row>
    <row r="6" spans="1:11" ht="5.25" customHeight="1" x14ac:dyDescent="0.25"/>
    <row r="7" spans="1:11" s="9" customFormat="1" ht="27" customHeight="1" x14ac:dyDescent="0.2">
      <c r="A7" s="6" t="s">
        <v>27</v>
      </c>
      <c r="B7" s="115" t="s">
        <v>28</v>
      </c>
      <c r="C7" s="7" t="s">
        <v>29</v>
      </c>
      <c r="D7" s="7" t="s">
        <v>30</v>
      </c>
      <c r="E7" s="7" t="s">
        <v>31</v>
      </c>
      <c r="F7" s="8" t="s">
        <v>32</v>
      </c>
      <c r="G7" s="8" t="s">
        <v>33</v>
      </c>
      <c r="H7" s="8" t="s">
        <v>34</v>
      </c>
      <c r="I7" s="8" t="s">
        <v>35</v>
      </c>
      <c r="J7" s="8" t="s">
        <v>36</v>
      </c>
    </row>
    <row r="8" spans="1:11" ht="15" customHeight="1" x14ac:dyDescent="0.25">
      <c r="A8" s="93" t="s">
        <v>8</v>
      </c>
      <c r="B8" s="116" t="s">
        <v>9</v>
      </c>
      <c r="C8" s="91">
        <f>Interface!C15</f>
        <v>15</v>
      </c>
      <c r="D8" s="91">
        <f>IF($C$8&lt;&gt;0,$C$8,D15/$D$2)</f>
        <v>15</v>
      </c>
      <c r="E8" s="91">
        <f t="shared" ref="E8:J8" si="0">IF($C$8&lt;&gt;0,$C$8,E15/$D$2)</f>
        <v>15</v>
      </c>
      <c r="F8" s="91">
        <f t="shared" si="0"/>
        <v>15</v>
      </c>
      <c r="G8" s="91">
        <f t="shared" si="0"/>
        <v>15</v>
      </c>
      <c r="H8" s="91">
        <f>IF($C$8&lt;&gt;0,$C$8,H15/$D$2)</f>
        <v>15</v>
      </c>
      <c r="I8" s="91">
        <f>IF($C$8&lt;&gt;0,$C$8,I15/$D$2)*1.3</f>
        <v>19.5</v>
      </c>
      <c r="J8" s="91">
        <f t="shared" si="0"/>
        <v>15</v>
      </c>
    </row>
    <row r="9" spans="1:11" ht="15" customHeight="1" x14ac:dyDescent="0.25">
      <c r="A9" s="93" t="s">
        <v>37</v>
      </c>
      <c r="B9" s="116" t="s">
        <v>38</v>
      </c>
      <c r="C9" s="91"/>
      <c r="D9" s="95">
        <f>Interface!C21</f>
        <v>10.5</v>
      </c>
      <c r="E9" s="95">
        <v>11</v>
      </c>
      <c r="F9" s="95">
        <v>9</v>
      </c>
      <c r="G9" s="95">
        <v>18.399999999999999</v>
      </c>
      <c r="H9" s="95">
        <f>G9</f>
        <v>18.399999999999999</v>
      </c>
      <c r="I9" s="95">
        <f>G9</f>
        <v>18.399999999999999</v>
      </c>
      <c r="J9" s="201">
        <v>375</v>
      </c>
    </row>
    <row r="10" spans="1:11" ht="15" customHeight="1" x14ac:dyDescent="0.25">
      <c r="A10" s="28" t="s">
        <v>39</v>
      </c>
      <c r="B10" s="117" t="s">
        <v>38</v>
      </c>
      <c r="C10" s="95"/>
      <c r="D10" s="95">
        <f>D9</f>
        <v>10.5</v>
      </c>
      <c r="E10" s="95">
        <f>E9*(1-0.081)</f>
        <v>10.109</v>
      </c>
      <c r="F10" s="95">
        <f>F9+1.738</f>
        <v>10.738</v>
      </c>
      <c r="G10" s="71">
        <f>G9/G35</f>
        <v>5.7499999999999991</v>
      </c>
      <c r="H10" s="71">
        <f>H9/H35</f>
        <v>5.7499999999999991</v>
      </c>
      <c r="I10" s="71">
        <f>I9/I35</f>
        <v>7.0769230769230758</v>
      </c>
      <c r="J10" s="71">
        <f>J9*100/1000/J33</f>
        <v>7.8125</v>
      </c>
    </row>
    <row r="11" spans="1:11" ht="15" customHeight="1" x14ac:dyDescent="0.25">
      <c r="A11" s="28" t="s">
        <v>40</v>
      </c>
      <c r="B11" s="117" t="s">
        <v>38</v>
      </c>
      <c r="C11" s="28"/>
      <c r="D11" s="95">
        <f>D10-0.5</f>
        <v>10</v>
      </c>
      <c r="E11" s="95">
        <f t="shared" ref="E11:F11" si="1">E10</f>
        <v>10.109</v>
      </c>
      <c r="F11" s="95">
        <f t="shared" si="1"/>
        <v>10.738</v>
      </c>
      <c r="G11" s="71">
        <f>IF(AND($C$10&lt;&gt;0,Interface!$C$11=G7),$C$10*0.95/G35,G9*0.95/G35)</f>
        <v>5.4624999999999986</v>
      </c>
      <c r="H11" s="71">
        <f>IF(AND($C$10&lt;&gt;0,Interface!$C$11=H7),$C$10*0.95/H35,H9*0.95/H35)</f>
        <v>5.4624999999999986</v>
      </c>
      <c r="I11" s="71">
        <f>IF(AND($C$10&lt;&gt;0,Interface!$C$11=I7),$C$10*0.95/I35,I9*0.95/I35)</f>
        <v>6.7230769230769214</v>
      </c>
      <c r="J11" s="71">
        <f>J10</f>
        <v>7.8125</v>
      </c>
    </row>
    <row r="12" spans="1:11" ht="15" customHeight="1" x14ac:dyDescent="0.25">
      <c r="A12" s="82" t="s">
        <v>41</v>
      </c>
      <c r="B12" s="118" t="s">
        <v>42</v>
      </c>
      <c r="C12" s="82"/>
      <c r="D12" s="94">
        <f>D8*Interface!C24</f>
        <v>3300</v>
      </c>
      <c r="E12" s="94">
        <v>0</v>
      </c>
      <c r="F12" s="94">
        <f>IF(F8&lt;60,6*12,IF(F8&lt;100,10*12,IF(F8&lt;160,16*12,IF(F8&lt;250,25*12,IF(F8&lt;400,40*12,IF(F8&lt;650,65*12,100*12))))))</f>
        <v>72</v>
      </c>
      <c r="G12" s="72">
        <f>14*12</f>
        <v>168</v>
      </c>
      <c r="H12" s="72">
        <f>14*12</f>
        <v>168</v>
      </c>
      <c r="I12" s="72">
        <f>14*12</f>
        <v>168</v>
      </c>
      <c r="J12" s="72">
        <v>0</v>
      </c>
    </row>
    <row r="13" spans="1:11" ht="15" customHeight="1" x14ac:dyDescent="0.25">
      <c r="A13" s="11" t="s">
        <v>43</v>
      </c>
      <c r="B13" s="119"/>
      <c r="C13" s="11"/>
      <c r="D13" s="73">
        <f>IF(D8*Interface!C27&gt;15000,D8*Interface!C27,15000)</f>
        <v>16500</v>
      </c>
      <c r="E13" s="73">
        <v>0</v>
      </c>
      <c r="F13" s="73">
        <f>3000+IF(F8&lt;40,0,IF(F8&lt;60,600,IF(F8&lt;100,1000,IF(F8&lt;160,1600,IF(F8&lt;250,2500,10*F8)))))</f>
        <v>3000</v>
      </c>
      <c r="G13" s="73">
        <v>8000</v>
      </c>
      <c r="H13" s="73">
        <v>8000</v>
      </c>
      <c r="I13" s="73">
        <v>8000</v>
      </c>
      <c r="J13" s="73">
        <v>0</v>
      </c>
    </row>
    <row r="14" spans="1:11" ht="15" hidden="1" customHeight="1" x14ac:dyDescent="0.25">
      <c r="A14" s="10" t="s">
        <v>44</v>
      </c>
      <c r="B14" s="120"/>
      <c r="C14" s="10"/>
      <c r="D14" s="12"/>
      <c r="E14" s="13">
        <v>32000</v>
      </c>
      <c r="F14" s="14"/>
      <c r="G14" s="15"/>
      <c r="H14" s="15"/>
      <c r="I14" s="15"/>
      <c r="J14" s="15"/>
    </row>
    <row r="15" spans="1:11" ht="15" customHeight="1" x14ac:dyDescent="0.25">
      <c r="A15" s="11" t="s">
        <v>45</v>
      </c>
      <c r="B15" s="119"/>
      <c r="C15" s="74"/>
      <c r="D15" s="74">
        <f>Interface!$C$14</f>
        <v>30000</v>
      </c>
      <c r="E15" s="74">
        <f>Interface!$C$14</f>
        <v>30000</v>
      </c>
      <c r="F15" s="74">
        <f>Interface!$C$14</f>
        <v>30000</v>
      </c>
      <c r="G15" s="74">
        <f>Interface!$C$14</f>
        <v>30000</v>
      </c>
      <c r="H15" s="74">
        <f>Interface!$C$14</f>
        <v>30000</v>
      </c>
      <c r="I15" s="74">
        <f>Interface!$C$14</f>
        <v>30000</v>
      </c>
      <c r="J15" s="74">
        <f>Interface!$C$14</f>
        <v>30000</v>
      </c>
      <c r="K15" s="213"/>
    </row>
    <row r="16" spans="1:11" ht="15" customHeight="1" x14ac:dyDescent="0.25">
      <c r="A16" s="11"/>
      <c r="B16" s="119"/>
      <c r="C16" s="11"/>
      <c r="D16" s="75"/>
      <c r="E16" s="75"/>
      <c r="F16" s="75"/>
      <c r="G16" s="75"/>
      <c r="H16" s="75"/>
      <c r="I16" s="75"/>
      <c r="J16" s="75"/>
      <c r="K16" s="106"/>
    </row>
    <row r="17" spans="1:16" ht="15" customHeight="1" x14ac:dyDescent="0.25">
      <c r="A17" s="28" t="s">
        <v>46</v>
      </c>
      <c r="B17" s="117"/>
      <c r="C17" s="98"/>
      <c r="D17" s="96">
        <f>IF(AND($C$17&lt;&gt;0,Interface!$C$11=D7),$C$17,D15/D34*D10/100)</f>
        <v>3150</v>
      </c>
      <c r="E17" s="96">
        <f>IF(AND($C$17&lt;&gt;0,Interface!$C$11=E7),$C$17,E15/E34*E10/100)</f>
        <v>3790.875</v>
      </c>
      <c r="F17" s="96">
        <f>IF(AND($C$17&lt;&gt;0,Interface!$C$11=F7),$C$17,F15/F34*F10/100)</f>
        <v>4026.75</v>
      </c>
      <c r="G17" s="96">
        <f>IF(AND($C$17&lt;&gt;0,Interface!$C$11=G7),$C$17,G15/G34*G10/100)</f>
        <v>1724.9999999999998</v>
      </c>
      <c r="H17" s="96">
        <f>IF(AND($C$17&lt;&gt;0,Interface!$C$11=H7),$C$17,H15/H34*H10/100)</f>
        <v>1724.9999999999998</v>
      </c>
      <c r="I17" s="96">
        <f>IF(AND($C$17&lt;&gt;0,Interface!$C$11=I7),$C$17,I15/I34*I10/100)</f>
        <v>2123.0769230769229</v>
      </c>
      <c r="J17" s="96">
        <f>IF(AND($C$17&lt;&gt;0,Interface!$C$11=J7),$C$17,J15/J34*J10/100)</f>
        <v>3348.2142857142862</v>
      </c>
    </row>
    <row r="18" spans="1:16" ht="15" customHeight="1" x14ac:dyDescent="0.25">
      <c r="A18" s="28" t="s">
        <v>47</v>
      </c>
      <c r="B18" s="117"/>
      <c r="C18" s="97"/>
      <c r="D18" s="92"/>
      <c r="E18" s="99">
        <f>E15/E33/E34</f>
        <v>3783.2929782082319</v>
      </c>
      <c r="F18" s="100">
        <f>F15/F33/F34</f>
        <v>3712.871287128713</v>
      </c>
      <c r="G18" s="92"/>
      <c r="H18" s="92"/>
      <c r="I18" s="92"/>
      <c r="J18" s="108">
        <f>IF(AND($C$18&lt;&gt;0,Interface!$C$11=J7),$C$18,J15/J33/J34)</f>
        <v>8928.5714285714294</v>
      </c>
    </row>
    <row r="19" spans="1:16" s="9" customFormat="1" ht="6.95" customHeight="1" x14ac:dyDescent="0.25">
      <c r="A19" s="16"/>
      <c r="B19" s="121"/>
      <c r="C19" s="16"/>
      <c r="D19" s="17"/>
      <c r="E19" s="17"/>
      <c r="F19" s="17"/>
      <c r="L19"/>
    </row>
    <row r="20" spans="1:16" s="9" customFormat="1" ht="15" hidden="1" customHeight="1" outlineLevel="1" x14ac:dyDescent="0.25">
      <c r="A20" s="18" t="s">
        <v>48</v>
      </c>
      <c r="B20" s="122"/>
      <c r="C20" s="83"/>
      <c r="D20" s="19"/>
      <c r="E20" s="20"/>
      <c r="F20" s="17"/>
      <c r="L20"/>
    </row>
    <row r="21" spans="1:16" ht="15" hidden="1" customHeight="1" outlineLevel="1" x14ac:dyDescent="0.25">
      <c r="A21" s="21" t="s">
        <v>49</v>
      </c>
      <c r="B21" s="123"/>
      <c r="C21" s="84"/>
      <c r="D21" s="22"/>
      <c r="E21" s="23"/>
      <c r="F21" s="24"/>
    </row>
    <row r="22" spans="1:16" ht="15" hidden="1" customHeight="1" outlineLevel="1" x14ac:dyDescent="0.25">
      <c r="A22" s="25" t="s">
        <v>50</v>
      </c>
      <c r="B22" s="124"/>
      <c r="C22" s="85"/>
      <c r="D22" s="26"/>
      <c r="E22" s="23"/>
      <c r="F22" s="24"/>
      <c r="L22" s="9"/>
      <c r="N22" s="9"/>
    </row>
    <row r="23" spans="1:16" ht="15" hidden="1" customHeight="1" outlineLevel="1" x14ac:dyDescent="0.25">
      <c r="A23" s="21" t="s">
        <v>51</v>
      </c>
      <c r="B23" s="123"/>
      <c r="C23" s="84"/>
      <c r="D23" s="22"/>
      <c r="E23" s="23"/>
      <c r="F23" s="24"/>
      <c r="L23" s="9"/>
    </row>
    <row r="24" spans="1:16" ht="15" hidden="1" customHeight="1" outlineLevel="1" x14ac:dyDescent="0.25">
      <c r="A24" s="21" t="s">
        <v>52</v>
      </c>
      <c r="B24" s="124"/>
      <c r="C24" s="85"/>
      <c r="D24" s="26"/>
      <c r="E24" s="23"/>
      <c r="F24" s="24"/>
    </row>
    <row r="25" spans="1:16" s="9" customFormat="1" ht="15" customHeight="1" collapsed="1" x14ac:dyDescent="0.25">
      <c r="A25" s="16"/>
      <c r="B25" s="121"/>
      <c r="C25" s="16"/>
      <c r="D25" s="17"/>
      <c r="E25" s="17"/>
      <c r="F25" s="17"/>
      <c r="L25"/>
      <c r="N25"/>
    </row>
    <row r="26" spans="1:16" s="9" customFormat="1" ht="28.5" customHeight="1" x14ac:dyDescent="0.25">
      <c r="A26" s="6" t="s">
        <v>53</v>
      </c>
      <c r="B26" s="115"/>
      <c r="C26" s="7" t="str">
        <f>C7</f>
        <v>Kostenbasis</v>
      </c>
      <c r="D26" s="7" t="str">
        <f>D7</f>
        <v>See-Energie Verbund</v>
      </c>
      <c r="E26" s="7" t="s">
        <v>31</v>
      </c>
      <c r="F26" s="8" t="str">
        <f t="shared" ref="F26:J26" si="2">F7</f>
        <v>Erdgas (fossiles)</v>
      </c>
      <c r="G26" s="8" t="str">
        <f t="shared" si="2"/>
        <v>Erdsonden WP</v>
      </c>
      <c r="H26" s="8" t="str">
        <f>H7</f>
        <v>Grundwasser WP</v>
      </c>
      <c r="I26" s="8" t="str">
        <f t="shared" si="2"/>
        <v>Luft/Wasser WP</v>
      </c>
      <c r="J26" s="8" t="str">
        <f t="shared" si="2"/>
        <v>Holzpellets</v>
      </c>
      <c r="L26"/>
      <c r="N26"/>
    </row>
    <row r="27" spans="1:16" ht="15" customHeight="1" x14ac:dyDescent="0.25">
      <c r="A27" s="10" t="s">
        <v>54</v>
      </c>
      <c r="B27" s="120"/>
      <c r="C27" s="10"/>
      <c r="D27" s="76">
        <v>2.4</v>
      </c>
      <c r="E27" s="76">
        <f>+$D27</f>
        <v>2.4</v>
      </c>
      <c r="F27" s="76">
        <f t="shared" ref="F27:J28" si="3">+$D27</f>
        <v>2.4</v>
      </c>
      <c r="G27" s="76">
        <f t="shared" si="3"/>
        <v>2.4</v>
      </c>
      <c r="H27" s="76">
        <f>+$D27</f>
        <v>2.4</v>
      </c>
      <c r="I27" s="76">
        <f>+$D27</f>
        <v>2.4</v>
      </c>
      <c r="J27" s="76">
        <f t="shared" si="3"/>
        <v>2.4</v>
      </c>
      <c r="N27" s="9"/>
    </row>
    <row r="28" spans="1:16" ht="15" customHeight="1" x14ac:dyDescent="0.25">
      <c r="A28" s="27" t="s">
        <v>55</v>
      </c>
      <c r="B28" s="125"/>
      <c r="C28" s="27"/>
      <c r="D28" s="77">
        <v>1</v>
      </c>
      <c r="E28" s="77">
        <f>+$D28</f>
        <v>1</v>
      </c>
      <c r="F28" s="77">
        <f t="shared" si="3"/>
        <v>1</v>
      </c>
      <c r="G28" s="77">
        <f t="shared" si="3"/>
        <v>1</v>
      </c>
      <c r="H28" s="77">
        <f t="shared" si="3"/>
        <v>1</v>
      </c>
      <c r="I28" s="77">
        <v>1</v>
      </c>
      <c r="J28" s="77">
        <f t="shared" si="3"/>
        <v>1</v>
      </c>
      <c r="L28" s="9"/>
      <c r="M28" s="9"/>
      <c r="N28" s="9"/>
      <c r="O28" s="9"/>
      <c r="P28" s="9"/>
    </row>
    <row r="29" spans="1:16" ht="15" customHeight="1" x14ac:dyDescent="0.25">
      <c r="A29" s="10" t="s">
        <v>56</v>
      </c>
      <c r="B29" s="120"/>
      <c r="C29" s="10"/>
      <c r="D29" s="227">
        <v>17.5</v>
      </c>
      <c r="E29" s="227">
        <v>20</v>
      </c>
      <c r="F29" s="227">
        <v>20</v>
      </c>
      <c r="G29" s="227">
        <v>17.5</v>
      </c>
      <c r="H29" s="227">
        <v>17.5</v>
      </c>
      <c r="I29" s="227">
        <v>17.5</v>
      </c>
      <c r="J29" s="227">
        <v>20</v>
      </c>
      <c r="L29" s="9"/>
      <c r="N29" s="9"/>
      <c r="O29" s="9"/>
      <c r="P29" s="9"/>
    </row>
    <row r="30" spans="1:16" ht="15" customHeight="1" x14ac:dyDescent="0.25">
      <c r="A30" s="11" t="s">
        <v>57</v>
      </c>
      <c r="B30" s="119"/>
      <c r="C30" s="11"/>
      <c r="D30" s="228">
        <v>50</v>
      </c>
      <c r="E30" s="228">
        <v>50</v>
      </c>
      <c r="F30" s="228">
        <v>50</v>
      </c>
      <c r="G30" s="228">
        <v>50</v>
      </c>
      <c r="H30" s="228">
        <v>50</v>
      </c>
      <c r="I30" s="228">
        <v>50</v>
      </c>
      <c r="J30" s="228">
        <v>50</v>
      </c>
    </row>
    <row r="31" spans="1:16" ht="15" customHeight="1" x14ac:dyDescent="0.25">
      <c r="A31" s="28" t="s">
        <v>58</v>
      </c>
      <c r="B31" s="117"/>
      <c r="C31" s="28"/>
      <c r="D31" s="210">
        <f>((6.8+5.8)/2+0.4+(9.2+5.7)/2+0.24+2.2+0.1+0.88)/100</f>
        <v>0.1757</v>
      </c>
      <c r="E31" s="210">
        <f>D31</f>
        <v>0.1757</v>
      </c>
      <c r="F31" s="210">
        <f>D31</f>
        <v>0.1757</v>
      </c>
      <c r="G31" s="210">
        <f>D31</f>
        <v>0.1757</v>
      </c>
      <c r="H31" s="210">
        <f>D31</f>
        <v>0.1757</v>
      </c>
      <c r="I31" s="210">
        <f>D31</f>
        <v>0.1757</v>
      </c>
      <c r="J31" s="210">
        <f>D31</f>
        <v>0.1757</v>
      </c>
    </row>
    <row r="32" spans="1:16" ht="6.95" customHeight="1" x14ac:dyDescent="0.25"/>
    <row r="33" spans="1:16" ht="15" customHeight="1" x14ac:dyDescent="0.25">
      <c r="A33" s="10" t="s">
        <v>59</v>
      </c>
      <c r="B33" s="120"/>
      <c r="C33" s="102"/>
      <c r="D33" s="12"/>
      <c r="E33" s="103">
        <f>IF(AND($C$33&lt;&gt;0,Interface!$C$11=E7),$C$33,11.8*0.84)</f>
        <v>9.9120000000000008</v>
      </c>
      <c r="F33" s="103">
        <f>IF(AND($C$33&lt;&gt;0,Interface!$C$11=F7),$C$33,10.1)</f>
        <v>10.1</v>
      </c>
      <c r="G33" s="29"/>
      <c r="H33" s="29"/>
      <c r="I33" s="29"/>
      <c r="J33" s="107">
        <v>4.8</v>
      </c>
    </row>
    <row r="34" spans="1:16" ht="15" customHeight="1" x14ac:dyDescent="0.25">
      <c r="A34" s="11" t="s">
        <v>60</v>
      </c>
      <c r="B34" s="119"/>
      <c r="C34" s="101"/>
      <c r="D34" s="30">
        <v>1</v>
      </c>
      <c r="E34" s="30">
        <v>0.8</v>
      </c>
      <c r="F34" s="30">
        <v>0.8</v>
      </c>
      <c r="G34" s="30">
        <v>1</v>
      </c>
      <c r="H34" s="30">
        <v>1</v>
      </c>
      <c r="I34" s="30">
        <v>1</v>
      </c>
      <c r="J34" s="30">
        <v>0.7</v>
      </c>
      <c r="M34" s="9"/>
      <c r="O34" s="9"/>
      <c r="P34" s="9"/>
    </row>
    <row r="35" spans="1:16" ht="15" customHeight="1" x14ac:dyDescent="0.25">
      <c r="A35" s="11" t="s">
        <v>61</v>
      </c>
      <c r="B35" s="119"/>
      <c r="C35" s="101"/>
      <c r="D35" s="30"/>
      <c r="E35" s="30"/>
      <c r="F35" s="30"/>
      <c r="G35" s="30">
        <v>3.2</v>
      </c>
      <c r="H35" s="30">
        <v>3.2</v>
      </c>
      <c r="I35" s="30">
        <v>2.6</v>
      </c>
      <c r="J35" s="30"/>
      <c r="M35" s="9"/>
      <c r="O35" s="9"/>
      <c r="P35" s="9"/>
    </row>
    <row r="36" spans="1:16" ht="6.95" customHeight="1" x14ac:dyDescent="0.25">
      <c r="M36" s="9"/>
      <c r="O36" s="9"/>
      <c r="P36" s="9"/>
    </row>
    <row r="37" spans="1:16" ht="15" customHeight="1" x14ac:dyDescent="0.25">
      <c r="A37" s="10" t="s">
        <v>62</v>
      </c>
      <c r="B37" s="120"/>
      <c r="C37" s="10"/>
      <c r="D37" s="31">
        <f>E37</f>
        <v>96</v>
      </c>
      <c r="E37" s="31">
        <v>96</v>
      </c>
      <c r="F37" s="31">
        <v>96</v>
      </c>
      <c r="G37" s="31">
        <f>$E$37</f>
        <v>96</v>
      </c>
      <c r="H37" s="31">
        <f>$E$37</f>
        <v>96</v>
      </c>
      <c r="I37" s="31">
        <f>$E$37</f>
        <v>96</v>
      </c>
      <c r="J37" s="31">
        <f>$E$37</f>
        <v>96</v>
      </c>
    </row>
    <row r="38" spans="1:16" ht="15" customHeight="1" x14ac:dyDescent="0.25">
      <c r="A38" s="32" t="s">
        <v>63</v>
      </c>
      <c r="B38" s="126"/>
      <c r="C38" s="32"/>
      <c r="D38" s="33">
        <v>3.0000000000000001E-3</v>
      </c>
      <c r="E38" s="33">
        <v>0.29799999999999999</v>
      </c>
      <c r="F38" s="33">
        <v>0.22800000000000001</v>
      </c>
      <c r="G38" s="33">
        <f>0.014*0.35</f>
        <v>4.8999999999999998E-3</v>
      </c>
      <c r="H38" s="33">
        <f>0.014*0.35</f>
        <v>4.8999999999999998E-3</v>
      </c>
      <c r="I38" s="33">
        <f>0.014*0.35</f>
        <v>4.8999999999999998E-3</v>
      </c>
      <c r="J38" s="33">
        <v>3.4000000000000002E-2</v>
      </c>
    </row>
    <row r="39" spans="1:16" ht="22.5" customHeight="1" x14ac:dyDescent="0.25">
      <c r="N39" s="9"/>
    </row>
    <row r="40" spans="1:16" ht="15.75" x14ac:dyDescent="0.25">
      <c r="A40" s="4" t="s">
        <v>64</v>
      </c>
      <c r="B40" s="113"/>
    </row>
    <row r="41" spans="1:16" ht="3.75" customHeight="1" x14ac:dyDescent="0.25"/>
    <row r="42" spans="1:16" ht="25.5" x14ac:dyDescent="0.25">
      <c r="A42" s="34"/>
      <c r="B42" s="7"/>
      <c r="C42" s="7" t="str">
        <f>C7</f>
        <v>Kostenbasis</v>
      </c>
      <c r="D42" s="7" t="str">
        <f t="shared" ref="D42:J42" si="4">D7</f>
        <v>See-Energie Verbund</v>
      </c>
      <c r="E42" s="7" t="str">
        <f t="shared" si="4"/>
        <v>Heizöl</v>
      </c>
      <c r="F42" s="7" t="str">
        <f t="shared" si="4"/>
        <v>Erdgas (fossiles)</v>
      </c>
      <c r="G42" s="7" t="str">
        <f t="shared" si="4"/>
        <v>Erdsonden WP</v>
      </c>
      <c r="H42" s="7" t="str">
        <f t="shared" si="4"/>
        <v>Grundwasser WP</v>
      </c>
      <c r="I42" s="7" t="str">
        <f t="shared" si="4"/>
        <v>Luft/Wasser WP</v>
      </c>
      <c r="J42" s="7" t="str">
        <f t="shared" si="4"/>
        <v>Holzpellets</v>
      </c>
    </row>
    <row r="43" spans="1:16" x14ac:dyDescent="0.25">
      <c r="A43" s="35" t="s">
        <v>65</v>
      </c>
      <c r="B43" s="127"/>
      <c r="C43" s="86"/>
      <c r="D43" s="78">
        <v>0</v>
      </c>
      <c r="E43" s="38">
        <v>0</v>
      </c>
      <c r="F43" s="38">
        <v>0</v>
      </c>
      <c r="G43" s="38">
        <v>100</v>
      </c>
      <c r="H43" s="38">
        <v>50</v>
      </c>
      <c r="I43" s="38">
        <v>0</v>
      </c>
      <c r="J43" s="38">
        <v>0</v>
      </c>
    </row>
    <row r="44" spans="1:16" x14ac:dyDescent="0.25">
      <c r="A44" s="35" t="s">
        <v>66</v>
      </c>
      <c r="B44" s="127"/>
      <c r="C44" s="86"/>
      <c r="D44" s="78">
        <v>0</v>
      </c>
      <c r="E44" s="38">
        <v>400</v>
      </c>
      <c r="F44" s="38">
        <v>300</v>
      </c>
      <c r="G44" s="38">
        <v>1700</v>
      </c>
      <c r="H44" s="38">
        <v>1700</v>
      </c>
      <c r="I44" s="38">
        <v>1700</v>
      </c>
      <c r="J44" s="38">
        <v>1700</v>
      </c>
    </row>
    <row r="45" spans="1:16" x14ac:dyDescent="0.25">
      <c r="A45" s="36" t="s">
        <v>67</v>
      </c>
      <c r="B45" s="128"/>
      <c r="C45" s="87"/>
      <c r="D45" s="78">
        <v>0</v>
      </c>
      <c r="E45" s="38">
        <v>0</v>
      </c>
      <c r="F45" s="38">
        <v>0</v>
      </c>
      <c r="G45" s="38">
        <v>250</v>
      </c>
      <c r="H45" s="38"/>
      <c r="I45" s="38">
        <v>0</v>
      </c>
      <c r="J45" s="38">
        <v>0</v>
      </c>
      <c r="M45" s="52"/>
    </row>
    <row r="46" spans="1:16" ht="5.25" customHeight="1" x14ac:dyDescent="0.25"/>
    <row r="48" spans="1:16" s="5" customFormat="1" ht="15.75" x14ac:dyDescent="0.25">
      <c r="A48" s="4" t="s">
        <v>68</v>
      </c>
      <c r="B48" s="113"/>
      <c r="C48" s="4"/>
      <c r="M48"/>
      <c r="N48"/>
      <c r="O48"/>
      <c r="P48"/>
    </row>
    <row r="49" spans="1:16" ht="6" customHeight="1" x14ac:dyDescent="0.25"/>
    <row r="50" spans="1:16" s="9" customFormat="1" ht="29.25" customHeight="1" x14ac:dyDescent="0.25">
      <c r="A50" s="34"/>
      <c r="B50" s="7"/>
      <c r="C50" s="7" t="str">
        <f>C7</f>
        <v>Kostenbasis</v>
      </c>
      <c r="D50" s="7" t="str">
        <f>D7</f>
        <v>See-Energie Verbund</v>
      </c>
      <c r="E50" s="8" t="s">
        <v>31</v>
      </c>
      <c r="F50" s="8" t="str">
        <f t="shared" ref="F50:J50" si="5">F26</f>
        <v>Erdgas (fossiles)</v>
      </c>
      <c r="G50" s="8" t="str">
        <f t="shared" si="5"/>
        <v>Erdsonden WP</v>
      </c>
      <c r="H50" s="8" t="str">
        <f t="shared" si="5"/>
        <v>Grundwasser WP</v>
      </c>
      <c r="I50" s="8" t="str">
        <f t="shared" si="5"/>
        <v>Luft/Wasser WP</v>
      </c>
      <c r="J50" s="8" t="str">
        <f t="shared" si="5"/>
        <v>Holzpellets</v>
      </c>
      <c r="M50"/>
      <c r="O50"/>
      <c r="P50"/>
    </row>
    <row r="51" spans="1:16" ht="15" customHeight="1" x14ac:dyDescent="0.25">
      <c r="A51" s="151" t="s">
        <v>69</v>
      </c>
      <c r="B51" s="152"/>
      <c r="C51" s="153"/>
      <c r="D51" s="154">
        <v>4800</v>
      </c>
      <c r="E51" s="154">
        <v>0</v>
      </c>
      <c r="F51" s="155">
        <v>0</v>
      </c>
      <c r="G51" s="155">
        <v>4800</v>
      </c>
      <c r="H51" s="155">
        <v>4800</v>
      </c>
      <c r="I51" s="155">
        <v>3200</v>
      </c>
      <c r="J51" s="155">
        <f>3000</f>
        <v>3000</v>
      </c>
      <c r="M51" s="52"/>
      <c r="N51" s="9"/>
    </row>
    <row r="52" spans="1:16" ht="15" customHeight="1" outlineLevel="1" x14ac:dyDescent="0.25">
      <c r="A52" s="151" t="s">
        <v>70</v>
      </c>
      <c r="B52" s="156"/>
      <c r="C52" s="157"/>
      <c r="D52" s="211">
        <v>360</v>
      </c>
      <c r="E52" s="158">
        <v>0</v>
      </c>
      <c r="F52" s="159">
        <v>0</v>
      </c>
      <c r="G52" s="159">
        <v>360</v>
      </c>
      <c r="H52" s="159">
        <v>360</v>
      </c>
      <c r="I52" s="159">
        <v>120</v>
      </c>
      <c r="J52" s="159">
        <v>360</v>
      </c>
      <c r="M52" s="52"/>
      <c r="N52" s="9"/>
    </row>
    <row r="53" spans="1:16" ht="15" customHeight="1" outlineLevel="1" x14ac:dyDescent="0.25">
      <c r="A53" s="229" t="s">
        <v>118</v>
      </c>
      <c r="B53" s="230"/>
      <c r="C53" s="231"/>
      <c r="D53" s="232">
        <f>D52*D8+D51</f>
        <v>10200</v>
      </c>
      <c r="E53" s="233">
        <f t="shared" ref="E53:J53" si="6">E52*E8+E51</f>
        <v>0</v>
      </c>
      <c r="F53" s="234">
        <f t="shared" si="6"/>
        <v>0</v>
      </c>
      <c r="G53" s="234">
        <f t="shared" si="6"/>
        <v>10200</v>
      </c>
      <c r="H53" s="234">
        <f t="shared" si="6"/>
        <v>10200</v>
      </c>
      <c r="I53" s="234">
        <f t="shared" si="6"/>
        <v>5540</v>
      </c>
      <c r="J53" s="234">
        <f t="shared" si="6"/>
        <v>8400</v>
      </c>
      <c r="M53" s="52"/>
      <c r="N53" s="9"/>
    </row>
    <row r="54" spans="1:16" s="9" customFormat="1" x14ac:dyDescent="0.25">
      <c r="A54" s="202" t="str">
        <f>A43</f>
        <v xml:space="preserve">Wärmequelle </v>
      </c>
      <c r="B54" s="203"/>
      <c r="C54" s="204"/>
      <c r="D54" s="219"/>
      <c r="E54" s="219"/>
      <c r="F54" s="219"/>
      <c r="G54" s="219">
        <f>G8/G35*(G35-1)*1000/35*G43</f>
        <v>29464.285714285717</v>
      </c>
      <c r="H54" s="219">
        <f>H8/H35*(H35-1)*1000/35*H43</f>
        <v>14732.142857142859</v>
      </c>
      <c r="I54" s="219"/>
      <c r="J54" s="219">
        <f>J55*0.25</f>
        <v>7171.875</v>
      </c>
      <c r="M54" s="52"/>
      <c r="O54"/>
      <c r="P54"/>
    </row>
    <row r="55" spans="1:16" ht="15" customHeight="1" x14ac:dyDescent="0.25">
      <c r="A55" s="35" t="s">
        <v>66</v>
      </c>
      <c r="B55" s="127"/>
      <c r="C55" s="86"/>
      <c r="D55" s="220">
        <f>D8*D44</f>
        <v>0</v>
      </c>
      <c r="E55" s="220">
        <f>E8*E44</f>
        <v>6000</v>
      </c>
      <c r="F55" s="220">
        <f>F8*F44</f>
        <v>4500</v>
      </c>
      <c r="G55" s="220">
        <f>IF(G8&lt;=15,G44*1.2*G8,IF(G8&lt;=25,G44*1.15*G8,IF(G8&lt;=50,G44*1.1*G8,IF(G8&lt;=100,G44*1.05*G8,IF(G8&lt;=125,G44*1*G8,G44*0.95*G8)))))</f>
        <v>30600</v>
      </c>
      <c r="H55" s="220">
        <f t="shared" ref="H55:I55" si="7">IF(H8&lt;=15,H44*1.2*H8,IF(H8&lt;=25,H44*1.15*H8,IF(H8&lt;=50,H44*1.1*H8,IF(H8&lt;=100,H44*1.05*H8,IF(H8&lt;=125,H44*1*H8,H44*0.95*H8)))))</f>
        <v>30600</v>
      </c>
      <c r="I55" s="220">
        <f t="shared" si="7"/>
        <v>38122.499999999993</v>
      </c>
      <c r="J55" s="220">
        <f>IF(J8&lt;=15,J44*1.5*J8,IF(J8&lt;=25,J44*1.45*J8,IF(J8&lt;=50,J44*1.25*J8,IF(J8&lt;=100,J44*1.05*J8,IF(J8&lt;=125,J44*0.95*J8,J44*0.9*J8)))))*0.75</f>
        <v>28687.5</v>
      </c>
      <c r="M55" s="52"/>
      <c r="N55" s="9"/>
    </row>
    <row r="56" spans="1:16" ht="15" customHeight="1" x14ac:dyDescent="0.25">
      <c r="A56" s="36" t="s">
        <v>67</v>
      </c>
      <c r="B56" s="128"/>
      <c r="C56" s="87"/>
      <c r="D56" s="221">
        <f t="shared" ref="D56:J56" si="8">D8*D45</f>
        <v>0</v>
      </c>
      <c r="E56" s="221">
        <f t="shared" si="8"/>
        <v>0</v>
      </c>
      <c r="F56" s="221">
        <f t="shared" si="8"/>
        <v>0</v>
      </c>
      <c r="G56" s="221">
        <f t="shared" si="8"/>
        <v>3750</v>
      </c>
      <c r="H56" s="221">
        <f t="shared" si="8"/>
        <v>0</v>
      </c>
      <c r="I56" s="221">
        <f t="shared" si="8"/>
        <v>0</v>
      </c>
      <c r="J56" s="220">
        <f t="shared" si="8"/>
        <v>0</v>
      </c>
      <c r="M56" s="52"/>
      <c r="N56" s="9"/>
    </row>
    <row r="57" spans="1:16" ht="15" customHeight="1" x14ac:dyDescent="0.25">
      <c r="A57" s="36" t="s">
        <v>71</v>
      </c>
      <c r="B57" s="129"/>
      <c r="C57" s="88"/>
      <c r="D57" s="221">
        <v>0</v>
      </c>
      <c r="E57" s="220">
        <v>0</v>
      </c>
      <c r="F57" s="220">
        <v>0</v>
      </c>
      <c r="G57" s="220">
        <v>0</v>
      </c>
      <c r="H57" s="220"/>
      <c r="I57" s="220">
        <v>0</v>
      </c>
      <c r="J57" s="220">
        <v>0</v>
      </c>
      <c r="M57" s="52"/>
      <c r="N57" s="9"/>
    </row>
    <row r="58" spans="1:16" ht="15" customHeight="1" x14ac:dyDescent="0.25">
      <c r="A58" s="36" t="s">
        <v>72</v>
      </c>
      <c r="B58" s="130"/>
      <c r="C58" s="89"/>
      <c r="D58" s="221">
        <v>0</v>
      </c>
      <c r="E58" s="220">
        <v>0</v>
      </c>
      <c r="F58" s="220">
        <v>0</v>
      </c>
      <c r="G58" s="220">
        <v>0</v>
      </c>
      <c r="H58" s="220"/>
      <c r="I58" s="220">
        <v>0</v>
      </c>
      <c r="J58" s="220">
        <v>0</v>
      </c>
      <c r="M58" s="52"/>
      <c r="N58" s="9"/>
    </row>
    <row r="59" spans="1:16" ht="15" customHeight="1" x14ac:dyDescent="0.25">
      <c r="A59" s="36" t="s">
        <v>73</v>
      </c>
      <c r="B59" s="130"/>
      <c r="C59" s="150">
        <v>0.18</v>
      </c>
      <c r="D59" s="220">
        <f>SUM(D54:D58)*$C$59</f>
        <v>0</v>
      </c>
      <c r="E59" s="220">
        <f t="shared" ref="E59:I59" si="9">SUM(E54:E58)*$C$59</f>
        <v>1080</v>
      </c>
      <c r="F59" s="220">
        <f t="shared" si="9"/>
        <v>810</v>
      </c>
      <c r="G59" s="220">
        <f>SUM(G54:G58)*$C$59</f>
        <v>11486.571428571429</v>
      </c>
      <c r="H59" s="220">
        <f t="shared" si="9"/>
        <v>8159.7857142857138</v>
      </c>
      <c r="I59" s="220">
        <f t="shared" si="9"/>
        <v>6862.0499999999984</v>
      </c>
      <c r="J59" s="220">
        <f>SUM(J54:J58)*$C$59</f>
        <v>6454.6875</v>
      </c>
      <c r="M59" s="52"/>
      <c r="N59" s="9"/>
    </row>
    <row r="60" spans="1:16" ht="15" customHeight="1" x14ac:dyDescent="0.25">
      <c r="A60" s="36" t="s">
        <v>43</v>
      </c>
      <c r="B60" s="129"/>
      <c r="C60" s="88"/>
      <c r="D60" s="221">
        <f t="shared" ref="D60:J60" si="10">D13</f>
        <v>16500</v>
      </c>
      <c r="E60" s="220">
        <f t="shared" si="10"/>
        <v>0</v>
      </c>
      <c r="F60" s="220">
        <f t="shared" si="10"/>
        <v>3000</v>
      </c>
      <c r="G60" s="220">
        <f t="shared" si="10"/>
        <v>8000</v>
      </c>
      <c r="H60" s="220">
        <f t="shared" si="10"/>
        <v>8000</v>
      </c>
      <c r="I60" s="220">
        <f t="shared" si="10"/>
        <v>8000</v>
      </c>
      <c r="J60" s="220">
        <f t="shared" si="10"/>
        <v>0</v>
      </c>
      <c r="M60" s="52"/>
      <c r="N60" s="9"/>
    </row>
    <row r="61" spans="1:16" ht="15" customHeight="1" x14ac:dyDescent="0.25">
      <c r="A61" s="36" t="s">
        <v>74</v>
      </c>
      <c r="B61" s="129"/>
      <c r="C61" s="88"/>
      <c r="D61" s="221">
        <f>SUM(D54:D60)-D53</f>
        <v>6300</v>
      </c>
      <c r="E61" s="221">
        <f t="shared" ref="E61:J61" si="11">SUM(E54:E60)-E53</f>
        <v>7080</v>
      </c>
      <c r="F61" s="221">
        <f t="shared" si="11"/>
        <v>8310</v>
      </c>
      <c r="G61" s="221">
        <f t="shared" si="11"/>
        <v>73100.857142857145</v>
      </c>
      <c r="H61" s="221">
        <f t="shared" si="11"/>
        <v>51291.928571428565</v>
      </c>
      <c r="I61" s="221">
        <f t="shared" si="11"/>
        <v>47444.549999999988</v>
      </c>
      <c r="J61" s="220">
        <f t="shared" si="11"/>
        <v>33914.0625</v>
      </c>
      <c r="M61" s="52"/>
      <c r="N61" s="9"/>
    </row>
    <row r="62" spans="1:16" ht="15" customHeight="1" outlineLevel="1" x14ac:dyDescent="0.25">
      <c r="A62" s="36" t="s">
        <v>75</v>
      </c>
      <c r="B62" s="129"/>
      <c r="C62" s="88" t="s">
        <v>76</v>
      </c>
      <c r="D62" s="221">
        <f>IF($C62&lt;&gt;0,0,IF(D$30/D$29&gt;=1,D$55,0))</f>
        <v>0</v>
      </c>
      <c r="E62" s="221">
        <f t="shared" ref="E62:J62" si="12">IF($C62&lt;&gt;0,0,IF(E$30/E$29&gt;=1,E$55,0))</f>
        <v>0</v>
      </c>
      <c r="F62" s="221">
        <f t="shared" si="12"/>
        <v>0</v>
      </c>
      <c r="G62" s="221">
        <f t="shared" si="12"/>
        <v>0</v>
      </c>
      <c r="H62" s="221">
        <f t="shared" si="12"/>
        <v>0</v>
      </c>
      <c r="I62" s="221">
        <f t="shared" si="12"/>
        <v>0</v>
      </c>
      <c r="J62" s="221">
        <f t="shared" si="12"/>
        <v>0</v>
      </c>
      <c r="M62" s="52"/>
      <c r="N62" s="9"/>
    </row>
    <row r="63" spans="1:16" ht="15" customHeight="1" outlineLevel="1" x14ac:dyDescent="0.25">
      <c r="A63" s="36" t="s">
        <v>77</v>
      </c>
      <c r="B63" s="129"/>
      <c r="C63" s="88" t="s">
        <v>76</v>
      </c>
      <c r="D63" s="221">
        <f>IF($C63&lt;&gt;0,0,IF(D$30/D$29&gt;=2,D$55,0))</f>
        <v>0</v>
      </c>
      <c r="E63" s="221">
        <f t="shared" ref="E63:J63" si="13">IF($C63&lt;&gt;0,0,IF(E$30/E$29&gt;=2,E$55,0))</f>
        <v>0</v>
      </c>
      <c r="F63" s="221">
        <f t="shared" si="13"/>
        <v>0</v>
      </c>
      <c r="G63" s="221">
        <f t="shared" si="13"/>
        <v>0</v>
      </c>
      <c r="H63" s="221">
        <f t="shared" si="13"/>
        <v>0</v>
      </c>
      <c r="I63" s="221">
        <f t="shared" si="13"/>
        <v>0</v>
      </c>
      <c r="J63" s="221">
        <f t="shared" si="13"/>
        <v>0</v>
      </c>
      <c r="M63" s="52"/>
      <c r="N63" s="9"/>
    </row>
    <row r="64" spans="1:16" ht="15" customHeight="1" outlineLevel="1" x14ac:dyDescent="0.25">
      <c r="A64" s="36" t="s">
        <v>78</v>
      </c>
      <c r="B64" s="129"/>
      <c r="C64" s="88" t="s">
        <v>76</v>
      </c>
      <c r="D64" s="221">
        <f>IF($C64&lt;&gt;0,0,IF(D$30/D$29&gt;=3,D$55,0))</f>
        <v>0</v>
      </c>
      <c r="E64" s="221">
        <f t="shared" ref="E64:J64" si="14">IF($C64&lt;&gt;0,0,IF(E$30/E$29&gt;=3,E$55,0))</f>
        <v>0</v>
      </c>
      <c r="F64" s="221">
        <f t="shared" si="14"/>
        <v>0</v>
      </c>
      <c r="G64" s="221">
        <f t="shared" si="14"/>
        <v>0</v>
      </c>
      <c r="H64" s="221">
        <f t="shared" si="14"/>
        <v>0</v>
      </c>
      <c r="I64" s="221">
        <f t="shared" si="14"/>
        <v>0</v>
      </c>
      <c r="J64" s="221">
        <f t="shared" si="14"/>
        <v>0</v>
      </c>
      <c r="M64" s="52"/>
      <c r="N64" s="9"/>
    </row>
    <row r="65" spans="1:15" ht="15" customHeight="1" outlineLevel="1" x14ac:dyDescent="0.25">
      <c r="A65" s="36" t="s">
        <v>79</v>
      </c>
      <c r="B65" s="129"/>
      <c r="C65" s="88" t="s">
        <v>76</v>
      </c>
      <c r="D65" s="221">
        <f>IF($C65&lt;&gt;0,0,IF(D64&gt;0,50-3*D29,50-2*D29))</f>
        <v>0</v>
      </c>
      <c r="E65" s="221">
        <f t="shared" ref="E65:J65" si="15">IF($C65&lt;&gt;0,0,IF(E64&gt;0,50-3*E29,50-2*E29))</f>
        <v>0</v>
      </c>
      <c r="F65" s="221">
        <f t="shared" si="15"/>
        <v>0</v>
      </c>
      <c r="G65" s="221">
        <f t="shared" si="15"/>
        <v>0</v>
      </c>
      <c r="H65" s="221">
        <f t="shared" si="15"/>
        <v>0</v>
      </c>
      <c r="I65" s="221">
        <f t="shared" si="15"/>
        <v>0</v>
      </c>
      <c r="J65" s="221">
        <f t="shared" si="15"/>
        <v>0</v>
      </c>
      <c r="M65" s="52"/>
      <c r="N65" s="9"/>
    </row>
    <row r="66" spans="1:15" ht="15" customHeight="1" outlineLevel="1" x14ac:dyDescent="0.25">
      <c r="A66" s="36" t="s">
        <v>80</v>
      </c>
      <c r="B66" s="129"/>
      <c r="C66" s="88" t="s">
        <v>76</v>
      </c>
      <c r="D66" s="221">
        <f>IF($C66&lt;&gt;0,D61*(1-D29/D30),((D29-D65)/D29)*D55)</f>
        <v>4095</v>
      </c>
      <c r="E66" s="221">
        <f t="shared" ref="E66:J66" si="16">IF($C66&lt;&gt;0,E54*(1-E29/E30),((E29-E65)/E29)*E55)</f>
        <v>0</v>
      </c>
      <c r="F66" s="221">
        <f t="shared" si="16"/>
        <v>0</v>
      </c>
      <c r="G66" s="221">
        <f t="shared" si="16"/>
        <v>19151.785714285717</v>
      </c>
      <c r="H66" s="221">
        <f t="shared" si="16"/>
        <v>9575.8928571428587</v>
      </c>
      <c r="I66" s="221">
        <f t="shared" si="16"/>
        <v>0</v>
      </c>
      <c r="J66" s="221">
        <f t="shared" si="16"/>
        <v>4303.125</v>
      </c>
      <c r="M66" s="52"/>
      <c r="N66" s="9"/>
    </row>
    <row r="67" spans="1:15" ht="15" customHeight="1" x14ac:dyDescent="0.25">
      <c r="A67" s="39" t="s">
        <v>81</v>
      </c>
      <c r="B67" s="131"/>
      <c r="C67" s="40"/>
      <c r="D67" s="222">
        <f>SUM(D61:D64)-D66</f>
        <v>2205</v>
      </c>
      <c r="E67" s="222">
        <f>SUM(E61:E64)-E66</f>
        <v>7080</v>
      </c>
      <c r="F67" s="222">
        <f t="shared" ref="F67:J67" si="17">SUM(F61:F64)-F66</f>
        <v>8310</v>
      </c>
      <c r="G67" s="222">
        <f>SUM(G61:G64)-G66</f>
        <v>53949.071428571428</v>
      </c>
      <c r="H67" s="222">
        <f>SUM(H61:H64)-H66</f>
        <v>41716.03571428571</v>
      </c>
      <c r="I67" s="222">
        <f t="shared" si="17"/>
        <v>47444.549999999988</v>
      </c>
      <c r="J67" s="222">
        <f t="shared" si="17"/>
        <v>29610.9375</v>
      </c>
      <c r="M67" s="52"/>
      <c r="N67" s="9"/>
    </row>
    <row r="68" spans="1:15" ht="15" customHeight="1" x14ac:dyDescent="0.25">
      <c r="A68" s="161"/>
      <c r="B68" s="162"/>
      <c r="C68" s="160"/>
      <c r="D68" s="223"/>
      <c r="E68" s="223"/>
      <c r="F68" s="223"/>
      <c r="G68" s="223"/>
      <c r="H68" s="223"/>
      <c r="I68" s="223"/>
      <c r="J68" s="223"/>
      <c r="M68" s="52"/>
      <c r="N68" s="9"/>
    </row>
    <row r="69" spans="1:15" ht="15" customHeight="1" x14ac:dyDescent="0.25">
      <c r="A69" s="202" t="s">
        <v>82</v>
      </c>
      <c r="B69" s="205"/>
      <c r="C69" s="206"/>
      <c r="D69" s="219">
        <f>D61*D29*D27/100</f>
        <v>2646</v>
      </c>
      <c r="E69" s="219">
        <f>E61*E29*E27/100</f>
        <v>3398.4</v>
      </c>
      <c r="F69" s="219">
        <f t="shared" ref="F69:J69" si="18">F61*F29*F27/100</f>
        <v>3988.8</v>
      </c>
      <c r="G69" s="219">
        <f t="shared" si="18"/>
        <v>30702.36</v>
      </c>
      <c r="H69" s="219">
        <f t="shared" si="18"/>
        <v>21542.609999999997</v>
      </c>
      <c r="I69" s="219">
        <f t="shared" si="18"/>
        <v>19926.710999999996</v>
      </c>
      <c r="J69" s="219">
        <f t="shared" si="18"/>
        <v>16278.75</v>
      </c>
      <c r="M69" s="52"/>
      <c r="N69" s="9"/>
    </row>
    <row r="70" spans="1:15" ht="15" customHeight="1" x14ac:dyDescent="0.25">
      <c r="A70" s="36" t="s">
        <v>83</v>
      </c>
      <c r="B70" s="130"/>
      <c r="C70" s="89"/>
      <c r="D70" s="221">
        <f t="shared" ref="D70:J70" si="19">D62*(50-D29)*D27/100</f>
        <v>0</v>
      </c>
      <c r="E70" s="220">
        <f t="shared" si="19"/>
        <v>0</v>
      </c>
      <c r="F70" s="220">
        <f t="shared" si="19"/>
        <v>0</v>
      </c>
      <c r="G70" s="220">
        <f t="shared" si="19"/>
        <v>0</v>
      </c>
      <c r="H70" s="220">
        <f t="shared" si="19"/>
        <v>0</v>
      </c>
      <c r="I70" s="220">
        <f t="shared" si="19"/>
        <v>0</v>
      </c>
      <c r="J70" s="220">
        <f t="shared" si="19"/>
        <v>0</v>
      </c>
      <c r="M70" s="52"/>
      <c r="N70" s="9"/>
    </row>
    <row r="71" spans="1:15" ht="15" customHeight="1" x14ac:dyDescent="0.25">
      <c r="A71" s="36" t="s">
        <v>84</v>
      </c>
      <c r="B71" s="130"/>
      <c r="C71" s="89"/>
      <c r="D71" s="221">
        <f>D63*(50-2*D29)*D27/100</f>
        <v>0</v>
      </c>
      <c r="E71" s="220">
        <f t="shared" ref="E71:J71" si="20">E63*(50-2*E29)*E27/100</f>
        <v>0</v>
      </c>
      <c r="F71" s="220">
        <f t="shared" si="20"/>
        <v>0</v>
      </c>
      <c r="G71" s="220">
        <f t="shared" si="20"/>
        <v>0</v>
      </c>
      <c r="H71" s="220">
        <f t="shared" si="20"/>
        <v>0</v>
      </c>
      <c r="I71" s="220">
        <f t="shared" si="20"/>
        <v>0</v>
      </c>
      <c r="J71" s="220">
        <f t="shared" si="20"/>
        <v>0</v>
      </c>
      <c r="M71" s="52"/>
      <c r="N71" s="9"/>
    </row>
    <row r="72" spans="1:15" ht="15" customHeight="1" x14ac:dyDescent="0.25">
      <c r="A72" s="151" t="s">
        <v>85</v>
      </c>
      <c r="B72" s="207"/>
      <c r="C72" s="208"/>
      <c r="D72" s="224">
        <f t="shared" ref="D72:J72" si="21">D64*(50-3*D29)*D27/100</f>
        <v>0</v>
      </c>
      <c r="E72" s="224">
        <f t="shared" si="21"/>
        <v>0</v>
      </c>
      <c r="F72" s="224">
        <f t="shared" si="21"/>
        <v>0</v>
      </c>
      <c r="G72" s="224">
        <f t="shared" si="21"/>
        <v>0</v>
      </c>
      <c r="H72" s="224">
        <f t="shared" si="21"/>
        <v>0</v>
      </c>
      <c r="I72" s="224">
        <f t="shared" si="21"/>
        <v>0</v>
      </c>
      <c r="J72" s="224">
        <f t="shared" si="21"/>
        <v>0</v>
      </c>
      <c r="M72" s="52"/>
      <c r="N72" s="9"/>
    </row>
    <row r="73" spans="1:15" ht="15" customHeight="1" x14ac:dyDescent="0.25">
      <c r="A73" s="163" t="s">
        <v>86</v>
      </c>
      <c r="B73" s="164"/>
      <c r="C73" s="165"/>
      <c r="D73" s="225">
        <f>SUM(D69:D72)</f>
        <v>2646</v>
      </c>
      <c r="E73" s="225">
        <f t="shared" ref="E73:J73" si="22">SUM(E69:E72)</f>
        <v>3398.4</v>
      </c>
      <c r="F73" s="225">
        <f>SUM(F69:F72)</f>
        <v>3988.8</v>
      </c>
      <c r="G73" s="225">
        <f>SUM(G69:G72)</f>
        <v>30702.36</v>
      </c>
      <c r="H73" s="225">
        <f>SUM(H69:H72)</f>
        <v>21542.609999999997</v>
      </c>
      <c r="I73" s="225">
        <f>SUM(I69:I72)</f>
        <v>19926.710999999996</v>
      </c>
      <c r="J73" s="226">
        <f t="shared" si="22"/>
        <v>16278.75</v>
      </c>
      <c r="M73" s="52"/>
      <c r="N73" s="9"/>
    </row>
    <row r="74" spans="1:15" ht="15" customHeight="1" x14ac:dyDescent="0.25">
      <c r="A74" s="161"/>
      <c r="B74" s="162"/>
      <c r="C74" s="160"/>
      <c r="D74" s="160"/>
      <c r="E74" s="160"/>
      <c r="F74" s="160"/>
      <c r="G74" s="160"/>
      <c r="H74" s="160"/>
      <c r="I74" s="160"/>
      <c r="J74" s="160"/>
      <c r="M74" s="52"/>
      <c r="N74" s="9"/>
    </row>
    <row r="75" spans="1:15" ht="15" customHeight="1" x14ac:dyDescent="0.25">
      <c r="A75" s="39" t="s">
        <v>87</v>
      </c>
      <c r="B75" s="131"/>
      <c r="C75" s="40"/>
      <c r="D75" s="40">
        <f>D67+D73</f>
        <v>4851</v>
      </c>
      <c r="E75" s="40">
        <f t="shared" ref="E75:J75" si="23">E67+E73</f>
        <v>10478.4</v>
      </c>
      <c r="F75" s="40">
        <f t="shared" si="23"/>
        <v>12298.8</v>
      </c>
      <c r="G75" s="40">
        <f t="shared" si="23"/>
        <v>84651.431428571435</v>
      </c>
      <c r="H75" s="40">
        <f t="shared" si="23"/>
        <v>63258.645714285711</v>
      </c>
      <c r="I75" s="40">
        <f t="shared" si="23"/>
        <v>67371.260999999984</v>
      </c>
      <c r="J75" s="40">
        <f t="shared" si="23"/>
        <v>45889.6875</v>
      </c>
      <c r="M75" s="52"/>
      <c r="N75" s="9"/>
    </row>
    <row r="76" spans="1:15" ht="15" customHeight="1" x14ac:dyDescent="0.25">
      <c r="A76" s="161"/>
      <c r="B76" s="162"/>
      <c r="C76" s="160"/>
      <c r="D76" s="160"/>
      <c r="E76" s="160"/>
      <c r="F76" s="160"/>
      <c r="G76" s="160"/>
      <c r="H76" s="160"/>
      <c r="I76" s="160"/>
      <c r="J76" s="160"/>
      <c r="M76" s="52"/>
      <c r="N76" s="9"/>
    </row>
    <row r="77" spans="1:15" s="5" customFormat="1" x14ac:dyDescent="0.2">
      <c r="B77" s="132"/>
    </row>
    <row r="78" spans="1:15" ht="6" customHeight="1" x14ac:dyDescent="0.25"/>
    <row r="79" spans="1:15" ht="15" customHeight="1" x14ac:dyDescent="0.35">
      <c r="A79" s="4" t="s">
        <v>88</v>
      </c>
      <c r="B79" s="113"/>
      <c r="C79" s="4"/>
      <c r="D79" s="5"/>
      <c r="E79" s="5"/>
      <c r="F79" s="5"/>
      <c r="G79" s="5"/>
      <c r="H79" s="5"/>
      <c r="I79" s="5"/>
      <c r="J79" s="5"/>
      <c r="K79" s="41"/>
      <c r="L79" s="41"/>
      <c r="M79" s="41"/>
      <c r="N79" s="41"/>
      <c r="O79" s="41"/>
    </row>
    <row r="80" spans="1:15" ht="15" customHeight="1" x14ac:dyDescent="0.25">
      <c r="K80" s="41"/>
      <c r="L80" s="41"/>
      <c r="M80" s="41"/>
      <c r="N80" s="41"/>
      <c r="O80" s="41"/>
    </row>
    <row r="81" spans="1:17" ht="26.25" customHeight="1" x14ac:dyDescent="0.25">
      <c r="A81" s="34"/>
      <c r="B81" s="8"/>
      <c r="C81" s="8" t="str">
        <f t="shared" ref="C81:I81" si="24">C88</f>
        <v>Kostenbasis</v>
      </c>
      <c r="D81" s="8" t="str">
        <f t="shared" si="24"/>
        <v>See-Energie Verbund</v>
      </c>
      <c r="E81" s="8" t="str">
        <f t="shared" si="24"/>
        <v>Heizöl</v>
      </c>
      <c r="F81" s="8" t="str">
        <f t="shared" si="24"/>
        <v>Erdgas (fossiles)</v>
      </c>
      <c r="G81" s="8" t="str">
        <f t="shared" si="24"/>
        <v>Erdsonden WP</v>
      </c>
      <c r="H81" s="8" t="str">
        <f>H88</f>
        <v>Grundwasser WP</v>
      </c>
      <c r="I81" s="8" t="str">
        <f t="shared" si="24"/>
        <v>Luft/Wasser WP</v>
      </c>
      <c r="J81" s="8" t="str">
        <f>J7</f>
        <v>Holzpellets</v>
      </c>
      <c r="K81" s="41"/>
      <c r="L81" s="41"/>
      <c r="M81" s="41"/>
      <c r="N81" s="41"/>
      <c r="O81" s="41"/>
      <c r="P81" s="41"/>
    </row>
    <row r="82" spans="1:17" ht="15" customHeight="1" x14ac:dyDescent="0.25">
      <c r="A82" s="42" t="s">
        <v>89</v>
      </c>
      <c r="B82" s="134"/>
      <c r="C82" s="42"/>
      <c r="D82" s="43">
        <f t="shared" ref="D82:J82" si="25">D15/D34*D38/1000</f>
        <v>0.09</v>
      </c>
      <c r="E82" s="43">
        <f t="shared" si="25"/>
        <v>11.175000000000001</v>
      </c>
      <c r="F82" s="43">
        <f t="shared" si="25"/>
        <v>8.5500000000000007</v>
      </c>
      <c r="G82" s="43">
        <f t="shared" si="25"/>
        <v>0.14699999999999999</v>
      </c>
      <c r="H82" s="43">
        <f t="shared" si="25"/>
        <v>0.14699999999999999</v>
      </c>
      <c r="I82" s="43">
        <f t="shared" si="25"/>
        <v>0.14699999999999999</v>
      </c>
      <c r="J82" s="43">
        <f t="shared" si="25"/>
        <v>1.4571428571428573</v>
      </c>
      <c r="K82" s="41"/>
      <c r="L82" s="41"/>
      <c r="M82" s="41"/>
      <c r="N82" s="41"/>
      <c r="O82" s="41"/>
      <c r="P82" s="41"/>
      <c r="Q82" s="41"/>
    </row>
    <row r="83" spans="1:17" ht="15" customHeight="1" x14ac:dyDescent="0.3">
      <c r="A83" s="44" t="s">
        <v>90</v>
      </c>
      <c r="B83" s="135"/>
      <c r="C83" s="44"/>
      <c r="D83" s="45"/>
      <c r="E83" s="45">
        <f t="shared" ref="E83:G83" si="26">$D$82-E82</f>
        <v>-11.085000000000001</v>
      </c>
      <c r="F83" s="45">
        <f t="shared" si="26"/>
        <v>-8.4600000000000009</v>
      </c>
      <c r="G83" s="45">
        <f t="shared" si="26"/>
        <v>-5.6999999999999995E-2</v>
      </c>
      <c r="H83" s="45">
        <f t="shared" ref="H83" si="27">$D$82-H82</f>
        <v>-5.6999999999999995E-2</v>
      </c>
      <c r="I83" s="45">
        <f t="shared" ref="I83" si="28">$D$82-I82</f>
        <v>-5.6999999999999995E-2</v>
      </c>
      <c r="J83" s="45">
        <f>$D$82-J82</f>
        <v>-1.3671428571428572</v>
      </c>
      <c r="K83" s="41"/>
      <c r="L83" s="41"/>
      <c r="M83" s="41"/>
      <c r="N83" s="41"/>
      <c r="O83" s="41"/>
    </row>
    <row r="84" spans="1:17" ht="15.75" x14ac:dyDescent="0.25">
      <c r="A84" s="46" t="s">
        <v>91</v>
      </c>
      <c r="B84" s="136"/>
      <c r="C84" s="46"/>
      <c r="D84" s="47">
        <v>0</v>
      </c>
      <c r="E84" s="47">
        <f t="shared" ref="E84:G84" si="29">ABS(E83)*1000/$D$85</f>
        <v>91687.344913151363</v>
      </c>
      <c r="F84" s="47">
        <f t="shared" si="29"/>
        <v>69975.186104218359</v>
      </c>
      <c r="G84" s="47">
        <f t="shared" si="29"/>
        <v>471.46401985111657</v>
      </c>
      <c r="H84" s="47">
        <f t="shared" ref="H84" si="30">ABS(H83)*1000/$D$85</f>
        <v>471.46401985111657</v>
      </c>
      <c r="I84" s="47">
        <f t="shared" ref="I84" si="31">ABS(I83)*1000/$D$85</f>
        <v>471.46401985111657</v>
      </c>
      <c r="J84" s="47">
        <f t="shared" ref="J84" si="32">ABS(J83)*1000/$D$85</f>
        <v>11308.046791917761</v>
      </c>
      <c r="K84" s="41"/>
      <c r="L84" s="41"/>
      <c r="M84" s="41"/>
      <c r="N84" s="41"/>
      <c r="O84" s="41"/>
    </row>
    <row r="85" spans="1:17" ht="76.5" customHeight="1" x14ac:dyDescent="0.25">
      <c r="A85" s="48" t="s">
        <v>92</v>
      </c>
      <c r="B85" s="137"/>
      <c r="C85" s="48"/>
      <c r="D85" s="49">
        <v>0.12089999999999999</v>
      </c>
      <c r="E85" s="50" t="s">
        <v>93</v>
      </c>
      <c r="F85" s="51"/>
      <c r="G85" s="52"/>
      <c r="H85" s="52"/>
      <c r="I85" s="52"/>
      <c r="J85" s="52"/>
      <c r="K85" s="41"/>
      <c r="L85" s="41"/>
      <c r="M85" s="41"/>
      <c r="N85" s="41"/>
      <c r="O85" s="41"/>
    </row>
    <row r="86" spans="1:17" ht="15" customHeight="1" x14ac:dyDescent="0.25">
      <c r="K86" s="41"/>
      <c r="L86" s="41"/>
      <c r="M86" s="41"/>
      <c r="N86" s="41"/>
      <c r="O86" s="41"/>
    </row>
    <row r="87" spans="1:17" ht="15" customHeight="1" x14ac:dyDescent="0.25">
      <c r="K87" s="41"/>
      <c r="L87" s="41"/>
      <c r="M87" s="41"/>
      <c r="N87" s="41"/>
      <c r="O87" s="41"/>
    </row>
    <row r="88" spans="1:17" ht="28.5" customHeight="1" x14ac:dyDescent="0.25">
      <c r="A88" s="34"/>
      <c r="B88" s="8"/>
      <c r="C88" s="8" t="str">
        <f t="shared" ref="C88:I88" si="33">C50</f>
        <v>Kostenbasis</v>
      </c>
      <c r="D88" s="8" t="str">
        <f t="shared" si="33"/>
        <v>See-Energie Verbund</v>
      </c>
      <c r="E88" s="7" t="str">
        <f t="shared" si="33"/>
        <v>Heizöl</v>
      </c>
      <c r="F88" s="7" t="str">
        <f t="shared" si="33"/>
        <v>Erdgas (fossiles)</v>
      </c>
      <c r="G88" s="8" t="str">
        <f t="shared" si="33"/>
        <v>Erdsonden WP</v>
      </c>
      <c r="H88" s="8" t="str">
        <f t="shared" si="33"/>
        <v>Grundwasser WP</v>
      </c>
      <c r="I88" s="8" t="str">
        <f t="shared" si="33"/>
        <v>Luft/Wasser WP</v>
      </c>
      <c r="J88" s="8" t="str">
        <f>J7</f>
        <v>Holzpellets</v>
      </c>
      <c r="K88" s="41"/>
      <c r="L88" s="41"/>
      <c r="M88" s="41"/>
      <c r="N88" s="41"/>
      <c r="O88" s="41"/>
    </row>
    <row r="89" spans="1:17" ht="15" customHeight="1" x14ac:dyDescent="0.25">
      <c r="A89" s="55" t="s">
        <v>94</v>
      </c>
      <c r="B89" s="139"/>
      <c r="C89" s="105"/>
      <c r="D89" s="105">
        <f>D90*D8</f>
        <v>0</v>
      </c>
      <c r="E89" s="105">
        <f t="shared" ref="E89:J89" si="34">E90*E8</f>
        <v>300</v>
      </c>
      <c r="F89" s="105">
        <f t="shared" si="34"/>
        <v>300</v>
      </c>
      <c r="G89" s="105">
        <f t="shared" si="34"/>
        <v>525</v>
      </c>
      <c r="H89" s="105">
        <f>H90*H8</f>
        <v>1125</v>
      </c>
      <c r="I89" s="105">
        <f>I90*I8</f>
        <v>682.5</v>
      </c>
      <c r="J89" s="105">
        <f t="shared" si="34"/>
        <v>825</v>
      </c>
      <c r="K89" s="41"/>
      <c r="L89" s="41"/>
      <c r="M89" s="41"/>
      <c r="N89" s="41"/>
      <c r="O89" s="41"/>
    </row>
    <row r="90" spans="1:17" ht="15" customHeight="1" x14ac:dyDescent="0.25">
      <c r="A90" s="37" t="s">
        <v>95</v>
      </c>
      <c r="B90" s="140"/>
      <c r="C90" s="149"/>
      <c r="D90" s="104">
        <v>0</v>
      </c>
      <c r="E90" s="104">
        <f>IF(AND($C$90&lt;&gt;0,Interface!$C$11=E88),$C$90,20)</f>
        <v>20</v>
      </c>
      <c r="F90" s="104">
        <f>IF(AND($C$90&lt;&gt;0,Interface!$C$11=F88),$C$90,20)</f>
        <v>20</v>
      </c>
      <c r="G90" s="104">
        <v>35</v>
      </c>
      <c r="H90" s="104">
        <v>75</v>
      </c>
      <c r="I90" s="104">
        <v>35</v>
      </c>
      <c r="J90" s="104">
        <v>55</v>
      </c>
      <c r="K90" s="41"/>
      <c r="L90" s="41"/>
      <c r="M90" s="209"/>
      <c r="N90" s="41"/>
      <c r="O90" s="41"/>
    </row>
    <row r="91" spans="1:17" ht="15" customHeight="1" x14ac:dyDescent="0.25">
      <c r="A91" s="53" t="s">
        <v>96</v>
      </c>
      <c r="B91" s="138"/>
      <c r="C91" s="53"/>
      <c r="D91" s="54"/>
      <c r="E91" s="54"/>
      <c r="F91" s="54"/>
      <c r="G91" s="54"/>
      <c r="H91" s="54"/>
      <c r="I91" s="54"/>
      <c r="J91" s="54"/>
      <c r="K91" s="57"/>
      <c r="L91" s="41"/>
      <c r="M91" s="41"/>
      <c r="N91" s="41"/>
      <c r="O91" s="41"/>
    </row>
    <row r="92" spans="1:17" ht="15" customHeight="1" x14ac:dyDescent="0.25">
      <c r="A92" s="53" t="s">
        <v>97</v>
      </c>
      <c r="B92" s="138"/>
      <c r="C92" s="53"/>
      <c r="D92" s="54"/>
      <c r="E92" s="54"/>
      <c r="F92" s="54"/>
      <c r="G92" s="54"/>
      <c r="H92" s="54"/>
      <c r="I92" s="54"/>
      <c r="J92" s="54"/>
      <c r="K92" s="58"/>
    </row>
    <row r="93" spans="1:17" ht="15" hidden="1" customHeight="1" outlineLevel="2" x14ac:dyDescent="0.25">
      <c r="A93" s="53" t="s">
        <v>98</v>
      </c>
      <c r="B93" s="138"/>
      <c r="C93" s="53"/>
      <c r="D93" s="54"/>
      <c r="E93" s="54"/>
      <c r="F93" s="54"/>
      <c r="G93" s="54"/>
      <c r="H93" s="54"/>
      <c r="I93" s="54"/>
      <c r="J93" s="54"/>
      <c r="K93" s="59"/>
    </row>
    <row r="94" spans="1:17" ht="15" hidden="1" customHeight="1" outlineLevel="2" x14ac:dyDescent="0.25">
      <c r="A94" s="53" t="s">
        <v>99</v>
      </c>
      <c r="B94" s="138"/>
      <c r="C94" s="53"/>
      <c r="D94" s="54"/>
      <c r="E94" s="54"/>
      <c r="F94" s="54"/>
      <c r="G94" s="54"/>
      <c r="H94" s="54"/>
      <c r="I94" s="54"/>
      <c r="J94" s="54"/>
      <c r="K94" s="59"/>
    </row>
    <row r="95" spans="1:17" ht="15" hidden="1" customHeight="1" outlineLevel="2" x14ac:dyDescent="0.25">
      <c r="A95" s="53" t="s">
        <v>100</v>
      </c>
      <c r="B95" s="138"/>
      <c r="C95" s="53"/>
      <c r="D95" s="54"/>
      <c r="E95" s="54"/>
      <c r="F95" s="54"/>
      <c r="G95" s="54"/>
      <c r="H95" s="54"/>
      <c r="I95" s="54"/>
      <c r="J95" s="54"/>
      <c r="K95" s="59"/>
    </row>
    <row r="96" spans="1:17" ht="15" hidden="1" customHeight="1" outlineLevel="2" x14ac:dyDescent="0.25">
      <c r="A96" s="53" t="s">
        <v>101</v>
      </c>
      <c r="B96" s="138"/>
      <c r="C96" s="53"/>
      <c r="D96" s="54"/>
      <c r="E96" s="54"/>
      <c r="F96" s="54"/>
      <c r="G96" s="54"/>
      <c r="H96" s="54"/>
      <c r="I96" s="54"/>
      <c r="J96" s="54"/>
      <c r="K96" s="59"/>
    </row>
    <row r="97" spans="1:11" ht="15" customHeight="1" collapsed="1" x14ac:dyDescent="0.25">
      <c r="A97" s="55" t="s">
        <v>102</v>
      </c>
      <c r="B97" s="141"/>
      <c r="C97" s="55"/>
      <c r="D97" s="56">
        <f>SUM(D98:D99)</f>
        <v>6450</v>
      </c>
      <c r="E97" s="56">
        <f>SUM(E98:E99)</f>
        <v>3790.875</v>
      </c>
      <c r="F97" s="56">
        <f>SUM(F98:F99)</f>
        <v>4098.75</v>
      </c>
      <c r="G97" s="56">
        <f>SUM(G98:G99)</f>
        <v>1892.9999999999998</v>
      </c>
      <c r="H97" s="56">
        <f>SUM(H98:H99)</f>
        <v>1892.9999999999998</v>
      </c>
      <c r="I97" s="56">
        <f t="shared" ref="I97" si="35">SUM(I98:I99)</f>
        <v>2291.0769230769229</v>
      </c>
      <c r="J97" s="56">
        <f t="shared" ref="J97" si="36">SUM(J98:J99)</f>
        <v>3348.2142857142862</v>
      </c>
      <c r="K97" s="59"/>
    </row>
    <row r="98" spans="1:11" x14ac:dyDescent="0.25">
      <c r="A98" s="53" t="s">
        <v>102</v>
      </c>
      <c r="B98" s="138"/>
      <c r="C98" s="53"/>
      <c r="D98" s="54">
        <f>IF(D15&gt;100000,D11*D15,D10*D15)/100</f>
        <v>3150</v>
      </c>
      <c r="E98" s="54">
        <f>IF(E15/E34&gt;100000,100000*E10+(E15/E34-100000)*E11,E15/E34*E10)/100</f>
        <v>3790.875</v>
      </c>
      <c r="F98" s="54">
        <f>IF(F15/F34&gt;100000,100000*F10+(F15/F34-100000)*F11,F15/F34*F10)/100</f>
        <v>4026.75</v>
      </c>
      <c r="G98" s="54">
        <f>IF(G15/G34&gt;300000,300000*G10+(G15/G34-300000)*G11,G15/G34*G10)/100</f>
        <v>1724.9999999999998</v>
      </c>
      <c r="H98" s="54">
        <f>IF(H15/H34&gt;300000,300000*H10+(H15/H34-300000)*H11,H15/H34*H10)/100</f>
        <v>1724.9999999999998</v>
      </c>
      <c r="I98" s="54">
        <f>IF(I15/I34&gt;300000,300000*I10+(I15/I34-300000)*I11,I15/I34*I10)/100</f>
        <v>2123.0769230769229</v>
      </c>
      <c r="J98" s="54">
        <f>IF(J15/J34&gt;100000,100000*J10+(J15/J34-100000)*J11,J15/J34*J10)/100</f>
        <v>3348.2142857142862</v>
      </c>
    </row>
    <row r="99" spans="1:11" x14ac:dyDescent="0.25">
      <c r="A99" s="53" t="s">
        <v>103</v>
      </c>
      <c r="B99" s="138"/>
      <c r="C99" s="53"/>
      <c r="D99" s="54">
        <f>D12</f>
        <v>3300</v>
      </c>
      <c r="E99" s="54">
        <f t="shared" ref="E99:J99" si="37">E12</f>
        <v>0</v>
      </c>
      <c r="F99" s="54">
        <f t="shared" si="37"/>
        <v>72</v>
      </c>
      <c r="G99" s="54">
        <f t="shared" si="37"/>
        <v>168</v>
      </c>
      <c r="H99" s="54">
        <f>H12</f>
        <v>168</v>
      </c>
      <c r="I99" s="54">
        <f t="shared" si="37"/>
        <v>168</v>
      </c>
      <c r="J99" s="54">
        <f t="shared" si="37"/>
        <v>0</v>
      </c>
    </row>
    <row r="100" spans="1:11" hidden="1" x14ac:dyDescent="0.25">
      <c r="A100" s="55" t="s">
        <v>104</v>
      </c>
      <c r="B100" s="142"/>
      <c r="C100" s="90"/>
      <c r="D100" s="60"/>
      <c r="E100" s="60"/>
      <c r="F100" s="60"/>
      <c r="G100" s="60"/>
      <c r="H100" s="60"/>
      <c r="I100" s="60"/>
      <c r="J100" s="60"/>
    </row>
    <row r="101" spans="1:11" x14ac:dyDescent="0.25">
      <c r="A101" s="61"/>
      <c r="B101" s="143"/>
      <c r="C101" s="61"/>
      <c r="D101" s="62"/>
      <c r="E101" s="63"/>
      <c r="F101" s="63"/>
      <c r="G101" s="63"/>
      <c r="H101" s="63"/>
      <c r="I101" s="63"/>
      <c r="J101" s="63"/>
    </row>
    <row r="102" spans="1:11" ht="15.75" x14ac:dyDescent="0.25">
      <c r="A102" s="4" t="s">
        <v>105</v>
      </c>
      <c r="B102" s="113"/>
      <c r="C102" s="4"/>
      <c r="D102" s="5"/>
      <c r="E102" s="5"/>
      <c r="F102" s="64" t="s">
        <v>106</v>
      </c>
      <c r="G102" s="5"/>
      <c r="H102" s="5"/>
      <c r="I102" s="5"/>
      <c r="J102" s="5"/>
    </row>
    <row r="104" spans="1:11" ht="25.5" x14ac:dyDescent="0.25">
      <c r="A104" s="34"/>
      <c r="B104" s="8"/>
      <c r="C104" s="8" t="str">
        <f t="shared" ref="C104:I104" si="38">C88</f>
        <v>Kostenbasis</v>
      </c>
      <c r="D104" s="8" t="str">
        <f t="shared" si="38"/>
        <v>See-Energie Verbund</v>
      </c>
      <c r="E104" s="8" t="str">
        <f t="shared" si="38"/>
        <v>Heizöl</v>
      </c>
      <c r="F104" s="8" t="str">
        <f t="shared" si="38"/>
        <v>Erdgas (fossiles)</v>
      </c>
      <c r="G104" s="8" t="str">
        <f t="shared" si="38"/>
        <v>Erdsonden WP</v>
      </c>
      <c r="H104" s="8" t="str">
        <f t="shared" si="38"/>
        <v>Grundwasser WP</v>
      </c>
      <c r="I104" s="8" t="str">
        <f t="shared" si="38"/>
        <v>Luft/Wasser WP</v>
      </c>
      <c r="J104" s="8" t="str">
        <f t="shared" ref="J104" si="39">J88</f>
        <v>Holzpellets</v>
      </c>
    </row>
    <row r="105" spans="1:11" x14ac:dyDescent="0.25">
      <c r="A105" s="65" t="s">
        <v>107</v>
      </c>
      <c r="B105" s="144"/>
      <c r="C105" s="65"/>
      <c r="D105" s="214">
        <f>(D67/(D15*D$29))*100</f>
        <v>0.42</v>
      </c>
      <c r="E105" s="214">
        <f t="shared" ref="E105:J105" si="40">(E67/(E15*E$29))*100</f>
        <v>1.18</v>
      </c>
      <c r="F105" s="214">
        <f t="shared" si="40"/>
        <v>1.385</v>
      </c>
      <c r="G105" s="214">
        <f t="shared" si="40"/>
        <v>10.276013605442175</v>
      </c>
      <c r="H105" s="214">
        <f>(H67/(H15*H$29))*100</f>
        <v>7.9459115646258498</v>
      </c>
      <c r="I105" s="214">
        <f t="shared" si="40"/>
        <v>9.0370571428571402</v>
      </c>
      <c r="J105" s="214">
        <f t="shared" si="40"/>
        <v>4.9351562500000004</v>
      </c>
    </row>
    <row r="106" spans="1:11" x14ac:dyDescent="0.25">
      <c r="A106" s="66" t="s">
        <v>108</v>
      </c>
      <c r="B106" s="145"/>
      <c r="C106" s="66"/>
      <c r="D106" s="215">
        <f>(D75/(D15*D$29))*100</f>
        <v>0.92400000000000004</v>
      </c>
      <c r="E106" s="215">
        <f t="shared" ref="E106:J106" si="41">(E75/(E15*E$29))*100</f>
        <v>1.7464</v>
      </c>
      <c r="F106" s="215">
        <f t="shared" si="41"/>
        <v>2.0497999999999998</v>
      </c>
      <c r="G106" s="215">
        <f t="shared" si="41"/>
        <v>16.124082176870751</v>
      </c>
      <c r="H106" s="215">
        <f>(H75/(H15*H$29))*100</f>
        <v>12.049265850340134</v>
      </c>
      <c r="I106" s="215">
        <f t="shared" si="41"/>
        <v>12.832621142857139</v>
      </c>
      <c r="J106" s="215">
        <f t="shared" si="41"/>
        <v>7.6482812500000001</v>
      </c>
    </row>
    <row r="107" spans="1:11" x14ac:dyDescent="0.25">
      <c r="A107" s="66" t="s">
        <v>94</v>
      </c>
      <c r="B107" s="145"/>
      <c r="C107" s="66"/>
      <c r="D107" s="215">
        <f>D89/D15*100</f>
        <v>0</v>
      </c>
      <c r="E107" s="215">
        <f t="shared" ref="E107:J107" si="42">E89/E15*100</f>
        <v>1</v>
      </c>
      <c r="F107" s="215">
        <f t="shared" si="42"/>
        <v>1</v>
      </c>
      <c r="G107" s="215">
        <f>G89/G15*100</f>
        <v>1.7500000000000002</v>
      </c>
      <c r="H107" s="215">
        <f>H89/H15*100</f>
        <v>3.75</v>
      </c>
      <c r="I107" s="215">
        <f t="shared" si="42"/>
        <v>2.2749999999999999</v>
      </c>
      <c r="J107" s="215">
        <f t="shared" si="42"/>
        <v>2.75</v>
      </c>
    </row>
    <row r="108" spans="1:11" x14ac:dyDescent="0.25">
      <c r="A108" s="67" t="s">
        <v>109</v>
      </c>
      <c r="B108" s="146"/>
      <c r="C108" s="67"/>
      <c r="D108" s="216">
        <f>D99/D15*100</f>
        <v>11</v>
      </c>
      <c r="E108" s="216"/>
      <c r="F108" s="216"/>
      <c r="G108" s="216"/>
      <c r="H108" s="216"/>
      <c r="I108" s="216"/>
      <c r="J108" s="216"/>
    </row>
    <row r="109" spans="1:11" x14ac:dyDescent="0.25">
      <c r="A109" s="67" t="s">
        <v>110</v>
      </c>
      <c r="B109" s="146"/>
      <c r="C109" s="67"/>
      <c r="D109" s="216">
        <f>D98/D15*100</f>
        <v>10.5</v>
      </c>
      <c r="E109" s="216">
        <f>E97/E15*100+E117</f>
        <v>16.451093749999998</v>
      </c>
      <c r="F109" s="216">
        <f>F97/F15*100+F117</f>
        <v>16.24234375</v>
      </c>
      <c r="G109" s="216">
        <f>G97/G15*100</f>
        <v>6.3099999999999987</v>
      </c>
      <c r="H109" s="216">
        <f>H97/H15*100</f>
        <v>6.3099999999999987</v>
      </c>
      <c r="I109" s="216">
        <f>I97/I15*100</f>
        <v>7.6369230769230763</v>
      </c>
      <c r="J109" s="216">
        <f>J97/J15*100</f>
        <v>11.160714285714288</v>
      </c>
    </row>
    <row r="110" spans="1:11" outlineLevel="1" x14ac:dyDescent="0.25">
      <c r="A110" s="68" t="str">
        <f>A100</f>
        <v>CO2-Abgabe</v>
      </c>
      <c r="B110" s="147"/>
      <c r="C110" s="68"/>
      <c r="D110" s="216">
        <f t="shared" ref="D110:J110" si="43">D100/D15*100</f>
        <v>0</v>
      </c>
      <c r="E110" s="216">
        <f t="shared" si="43"/>
        <v>0</v>
      </c>
      <c r="F110" s="216">
        <f t="shared" si="43"/>
        <v>0</v>
      </c>
      <c r="G110" s="216">
        <f t="shared" si="43"/>
        <v>0</v>
      </c>
      <c r="H110" s="216">
        <f t="shared" si="43"/>
        <v>0</v>
      </c>
      <c r="I110" s="216">
        <f t="shared" si="43"/>
        <v>0</v>
      </c>
      <c r="J110" s="216">
        <f t="shared" si="43"/>
        <v>0</v>
      </c>
    </row>
    <row r="111" spans="1:11" outlineLevel="1" x14ac:dyDescent="0.25">
      <c r="A111" s="90" t="s">
        <v>111</v>
      </c>
      <c r="B111" s="142"/>
      <c r="C111" s="90"/>
      <c r="D111" s="217">
        <v>1.5</v>
      </c>
      <c r="E111" s="217">
        <v>4</v>
      </c>
      <c r="F111" s="217">
        <v>4</v>
      </c>
      <c r="G111" s="217">
        <v>2</v>
      </c>
      <c r="H111" s="217">
        <v>2</v>
      </c>
      <c r="I111" s="217">
        <v>2</v>
      </c>
      <c r="J111" s="217">
        <v>3</v>
      </c>
    </row>
    <row r="112" spans="1:11" x14ac:dyDescent="0.25">
      <c r="A112" s="42" t="s">
        <v>112</v>
      </c>
      <c r="B112" s="134"/>
      <c r="C112" s="42"/>
      <c r="D112" s="218">
        <f>D105+D107+D109</f>
        <v>10.92</v>
      </c>
      <c r="E112" s="218">
        <f t="shared" ref="E112:J112" si="44">E105+E107+E109</f>
        <v>18.631093749999998</v>
      </c>
      <c r="F112" s="218">
        <f t="shared" si="44"/>
        <v>18.627343750000001</v>
      </c>
      <c r="G112" s="218">
        <f t="shared" si="44"/>
        <v>18.336013605442176</v>
      </c>
      <c r="H112" s="218">
        <f>H105+H107+H109</f>
        <v>18.005911564625848</v>
      </c>
      <c r="I112" s="218">
        <f t="shared" si="44"/>
        <v>18.948980219780218</v>
      </c>
      <c r="J112" s="218">
        <f t="shared" si="44"/>
        <v>18.84587053571429</v>
      </c>
    </row>
    <row r="113" spans="1:14" x14ac:dyDescent="0.25">
      <c r="A113" s="42" t="s">
        <v>113</v>
      </c>
      <c r="B113" s="134"/>
      <c r="C113" s="42"/>
      <c r="D113" s="218">
        <f>D106+D107+D109+D108</f>
        <v>22.423999999999999</v>
      </c>
      <c r="E113" s="218">
        <f t="shared" ref="E113:J113" si="45">E106+E107+E109</f>
        <v>19.19749375</v>
      </c>
      <c r="F113" s="218">
        <f t="shared" si="45"/>
        <v>19.292143750000001</v>
      </c>
      <c r="G113" s="218">
        <f t="shared" si="45"/>
        <v>24.184082176870749</v>
      </c>
      <c r="H113" s="218">
        <f t="shared" si="45"/>
        <v>22.109265850340133</v>
      </c>
      <c r="I113" s="218">
        <f t="shared" si="45"/>
        <v>22.744544219780217</v>
      </c>
      <c r="J113" s="218">
        <f t="shared" si="45"/>
        <v>21.558995535714288</v>
      </c>
    </row>
    <row r="114" spans="1:14" x14ac:dyDescent="0.25">
      <c r="A114" s="109"/>
      <c r="B114" s="148"/>
      <c r="C114" s="109"/>
      <c r="D114" s="110"/>
      <c r="E114" s="110"/>
      <c r="F114" s="110"/>
      <c r="G114" s="110"/>
      <c r="H114" s="110"/>
      <c r="I114" s="110"/>
      <c r="J114" s="110"/>
    </row>
    <row r="115" spans="1:14" x14ac:dyDescent="0.25">
      <c r="A115" s="195" t="s">
        <v>114</v>
      </c>
      <c r="B115" s="196"/>
      <c r="C115" s="197">
        <f>96</f>
        <v>96</v>
      </c>
      <c r="D115" s="198"/>
      <c r="E115" s="199">
        <v>2.57</v>
      </c>
      <c r="F115" s="199">
        <v>1.738</v>
      </c>
      <c r="G115" s="198"/>
      <c r="H115" s="198"/>
      <c r="I115" s="198"/>
      <c r="J115" s="198"/>
    </row>
    <row r="116" spans="1:14" x14ac:dyDescent="0.25">
      <c r="A116" s="195" t="s">
        <v>115</v>
      </c>
      <c r="B116" s="196"/>
      <c r="C116" s="197">
        <v>210</v>
      </c>
      <c r="D116" s="198">
        <f t="shared" ref="D116:E116" si="46">+D115*(1+($C116-$C115)/$C115)</f>
        <v>0</v>
      </c>
      <c r="E116" s="198">
        <f t="shared" si="46"/>
        <v>5.6218749999999993</v>
      </c>
      <c r="F116" s="198">
        <f>+F115*(1+($C116-$C115)/$C115)</f>
        <v>3.8018749999999999</v>
      </c>
      <c r="G116" s="198"/>
      <c r="H116" s="198"/>
      <c r="I116" s="198"/>
      <c r="J116" s="198"/>
      <c r="M116" s="241"/>
      <c r="N116" s="241"/>
    </row>
    <row r="117" spans="1:14" x14ac:dyDescent="0.25">
      <c r="A117" s="195" t="s">
        <v>116</v>
      </c>
      <c r="B117" s="196"/>
      <c r="C117" s="197"/>
      <c r="D117" s="198">
        <f>+(D116-D115)/D34</f>
        <v>0</v>
      </c>
      <c r="E117" s="198">
        <f>+(E116-E115)/E34</f>
        <v>3.8148437499999992</v>
      </c>
      <c r="F117" s="198">
        <f>+(F116-F115)/F34</f>
        <v>2.5798437499999998</v>
      </c>
      <c r="G117" s="198"/>
      <c r="H117" s="198"/>
      <c r="I117" s="198"/>
      <c r="J117" s="198"/>
    </row>
    <row r="118" spans="1:14" x14ac:dyDescent="0.25">
      <c r="A118" s="195"/>
      <c r="B118" s="196"/>
      <c r="C118" s="197"/>
      <c r="D118" s="198"/>
      <c r="E118" s="198"/>
      <c r="F118" s="198"/>
      <c r="G118" s="198"/>
      <c r="H118" s="198"/>
      <c r="I118" s="198"/>
      <c r="J118" s="198"/>
    </row>
    <row r="119" spans="1:14" x14ac:dyDescent="0.25">
      <c r="A119" s="195" t="s">
        <v>116</v>
      </c>
      <c r="B119" s="196"/>
      <c r="C119" s="197"/>
      <c r="D119" s="200">
        <f>+D117*D15/100</f>
        <v>0</v>
      </c>
      <c r="E119" s="200">
        <f>+E117*E15/100</f>
        <v>1144.4531249999998</v>
      </c>
      <c r="F119" s="200">
        <f>+F117*F15/100</f>
        <v>773.953125</v>
      </c>
      <c r="G119" s="198"/>
      <c r="H119" s="198"/>
      <c r="I119" s="198"/>
      <c r="J119" s="198"/>
    </row>
    <row r="132" spans="1:11" s="5" customFormat="1" x14ac:dyDescent="0.2">
      <c r="B132" s="132"/>
    </row>
    <row r="133" spans="1:11" ht="6" customHeight="1" x14ac:dyDescent="0.25"/>
    <row r="134" spans="1:11" s="9" customFormat="1" ht="15" customHeight="1" x14ac:dyDescent="0.2">
      <c r="B134" s="133"/>
      <c r="K134" s="17"/>
    </row>
    <row r="135" spans="1:11" ht="15" customHeight="1" x14ac:dyDescent="0.25">
      <c r="K135" s="69"/>
    </row>
    <row r="136" spans="1:11" ht="15" customHeight="1" x14ac:dyDescent="0.25">
      <c r="K136" s="69"/>
    </row>
    <row r="137" spans="1:11" ht="15" customHeight="1" x14ac:dyDescent="0.25">
      <c r="K137" s="70"/>
    </row>
    <row r="138" spans="1:11" ht="15" customHeight="1" x14ac:dyDescent="0.25">
      <c r="K138" s="70"/>
    </row>
    <row r="139" spans="1:11" ht="15" customHeight="1" x14ac:dyDescent="0.25">
      <c r="K139" s="70"/>
    </row>
    <row r="140" spans="1:11" ht="15.75" x14ac:dyDescent="0.25">
      <c r="A140" s="4"/>
      <c r="B140" s="113"/>
      <c r="C140" s="4"/>
    </row>
    <row r="142" spans="1:11" x14ac:dyDescent="0.25">
      <c r="A142" s="9"/>
      <c r="B142" s="133"/>
      <c r="C142" s="9"/>
    </row>
    <row r="143" spans="1:11" x14ac:dyDescent="0.25">
      <c r="A143" s="9"/>
      <c r="B143" s="133"/>
      <c r="C143" s="9"/>
    </row>
  </sheetData>
  <mergeCells count="1">
    <mergeCell ref="M116:N116"/>
  </mergeCells>
  <pageMargins left="0.7" right="0.7" top="0.78740157499999996" bottom="0.78740157499999996" header="0.3" footer="0.3"/>
  <pageSetup paperSize="9" orientation="portrait"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60B505BC3E1B74EBA2865B5FEFCF9C4" ma:contentTypeVersion="11" ma:contentTypeDescription="Ein neues Dokument erstellen." ma:contentTypeScope="" ma:versionID="33af8cd8c912ec4e4927bdafeb4a033b">
  <xsd:schema xmlns:xsd="http://www.w3.org/2001/XMLSchema" xmlns:xs="http://www.w3.org/2001/XMLSchema" xmlns:p="http://schemas.microsoft.com/office/2006/metadata/properties" xmlns:ns2="b8b9265f-7fc1-48ce-beba-d644145781c9" targetNamespace="http://schemas.microsoft.com/office/2006/metadata/properties" ma:root="true" ma:fieldsID="d5e736b79f57c54855d0f8b545fdfe63" ns2:_="">
    <xsd:import namespace="b8b9265f-7fc1-48ce-beba-d644145781c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b9265f-7fc1-48ce-beba-d644145781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656e87b6-01e7-4b6f-97eb-af5288b1e39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8b9265f-7fc1-48ce-beba-d644145781c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6763B7-73A5-4379-ADC4-4EA6889504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b9265f-7fc1-48ce-beba-d644145781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6A838A-CDCD-4B6A-B2A5-31BFBD3F60E5}">
  <ds:schemaRef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dcmitype/"/>
    <ds:schemaRef ds:uri="http://www.w3.org/XML/1998/namespace"/>
    <ds:schemaRef ds:uri="http://purl.org/dc/terms/"/>
    <ds:schemaRef ds:uri="b8b9265f-7fc1-48ce-beba-d644145781c9"/>
    <ds:schemaRef ds:uri="http://schemas.microsoft.com/office/2006/metadata/properties"/>
  </ds:schemaRefs>
</ds:datastoreItem>
</file>

<file path=customXml/itemProps3.xml><?xml version="1.0" encoding="utf-8"?>
<ds:datastoreItem xmlns:ds="http://schemas.openxmlformats.org/officeDocument/2006/customXml" ds:itemID="{34C37E11-17BA-4187-8DE2-94D9A008A0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Interface</vt:lpstr>
      <vt:lpstr>kostenberechnung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Boris Lionet</dc:creator>
  <cp:keywords/>
  <dc:description/>
  <cp:lastModifiedBy>Maag Cécile</cp:lastModifiedBy>
  <cp:revision/>
  <dcterms:created xsi:type="dcterms:W3CDTF">2019-03-20T13:11:21Z</dcterms:created>
  <dcterms:modified xsi:type="dcterms:W3CDTF">2026-02-06T06:02:04Z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0x010100160B505BC3E1B74EBA2865B5FEFCF9C4</vt:lpwstr>
  </property>
  <property fmtid="{D5CDD505-2E9C-101B-9397-08002B2CF9AE}" pid="3" name="MediaServiceImageTags">
    <vt:lpwstr/>
  </property>
</Properties>
</file>